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 activeTab="1"/>
  </bookViews>
  <sheets>
    <sheet name="CF proiect 10 ani" sheetId="1" r:id="rId1"/>
    <sheet name="venituri telegondola sezon schi" sheetId="2" r:id="rId2"/>
  </sheets>
  <externalReferences>
    <externalReference r:id="rId3"/>
    <externalReference r:id="rId4"/>
  </externalReferences>
  <definedNames>
    <definedName name="cval">'[1]Date I'!$B$20</definedName>
    <definedName name="_xlnm.Print_Titles" localSheetId="0">'CF proiect 10 ani'!$1:$1</definedName>
  </definedNames>
  <calcPr calcId="144525"/>
</workbook>
</file>

<file path=xl/calcChain.xml><?xml version="1.0" encoding="utf-8"?>
<calcChain xmlns="http://schemas.openxmlformats.org/spreadsheetml/2006/main">
  <c r="O7" i="2" l="1"/>
  <c r="E10" i="2"/>
  <c r="E11" i="2" s="1"/>
  <c r="E12" i="2" s="1"/>
  <c r="E13" i="2" s="1"/>
  <c r="E14" i="2" s="1"/>
  <c r="E15" i="2" s="1"/>
  <c r="E16" i="2" s="1"/>
  <c r="N8" i="2"/>
  <c r="N9" i="2" s="1"/>
  <c r="N10" i="2" s="1"/>
  <c r="N11" i="2" s="1"/>
  <c r="N12" i="2" s="1"/>
  <c r="N13" i="2" s="1"/>
  <c r="N14" i="2" s="1"/>
  <c r="N15" i="2" s="1"/>
  <c r="N16" i="2" s="1"/>
  <c r="L8" i="2"/>
  <c r="H8" i="2"/>
  <c r="H9" i="2" s="1"/>
  <c r="H10" i="2" s="1"/>
  <c r="H11" i="2" s="1"/>
  <c r="H12" i="2" s="1"/>
  <c r="H13" i="2" s="1"/>
  <c r="H14" i="2" s="1"/>
  <c r="H15" i="2" s="1"/>
  <c r="H16" i="2" s="1"/>
  <c r="G8" i="2"/>
  <c r="G9" i="2" s="1"/>
  <c r="G10" i="2" s="1"/>
  <c r="G11" i="2" s="1"/>
  <c r="G12" i="2" s="1"/>
  <c r="G13" i="2" s="1"/>
  <c r="G14" i="2" s="1"/>
  <c r="G15" i="2" s="1"/>
  <c r="G16" i="2" s="1"/>
  <c r="F8" i="2"/>
  <c r="F9" i="2" s="1"/>
  <c r="F10" i="2" s="1"/>
  <c r="F11" i="2" s="1"/>
  <c r="F12" i="2" s="1"/>
  <c r="F13" i="2" s="1"/>
  <c r="F14" i="2" s="1"/>
  <c r="F15" i="2" s="1"/>
  <c r="F16" i="2" s="1"/>
  <c r="E8" i="2"/>
  <c r="E9" i="2" s="1"/>
  <c r="D8" i="2"/>
  <c r="D9" i="2" s="1"/>
  <c r="D10" i="2" s="1"/>
  <c r="D11" i="2" s="1"/>
  <c r="D12" i="2" s="1"/>
  <c r="D13" i="2" s="1"/>
  <c r="D14" i="2" s="1"/>
  <c r="D15" i="2" s="1"/>
  <c r="D16" i="2" s="1"/>
  <c r="B8" i="2"/>
  <c r="B9" i="2" s="1"/>
  <c r="A8" i="2"/>
  <c r="A9" i="2" s="1"/>
  <c r="A10" i="2" s="1"/>
  <c r="A11" i="2" s="1"/>
  <c r="A12" i="2" s="1"/>
  <c r="A13" i="2" s="1"/>
  <c r="A14" i="2" s="1"/>
  <c r="A15" i="2" s="1"/>
  <c r="A16" i="2" s="1"/>
  <c r="L7" i="2"/>
  <c r="K7" i="2"/>
  <c r="I7" i="2" s="1"/>
  <c r="M7" i="2" s="1"/>
  <c r="J7" i="2"/>
  <c r="O6" i="2"/>
  <c r="L6" i="2"/>
  <c r="K6" i="2"/>
  <c r="J6" i="2"/>
  <c r="I6" i="2" s="1"/>
  <c r="M6" i="2" s="1"/>
  <c r="D6" i="2"/>
  <c r="C6" i="2"/>
  <c r="C7" i="2" s="1"/>
  <c r="C8" i="2" s="1"/>
  <c r="C9" i="2" s="1"/>
  <c r="C10" i="2" s="1"/>
  <c r="C11" i="2" s="1"/>
  <c r="C12" i="2" s="1"/>
  <c r="C13" i="2" s="1"/>
  <c r="C14" i="2" s="1"/>
  <c r="C15" i="2" s="1"/>
  <c r="C16" i="2" s="1"/>
  <c r="L9" i="2" l="1"/>
  <c r="B10" i="2"/>
  <c r="K9" i="2"/>
  <c r="J9" i="2"/>
  <c r="K8" i="2"/>
  <c r="J8" i="2"/>
  <c r="I8" i="2" s="1"/>
  <c r="M8" i="2" s="1"/>
  <c r="O8" i="2" s="1"/>
  <c r="F103" i="1"/>
  <c r="F102" i="1"/>
  <c r="G94" i="1"/>
  <c r="F94" i="1"/>
  <c r="E94" i="1"/>
  <c r="D94" i="1"/>
  <c r="L92" i="1"/>
  <c r="G92" i="1"/>
  <c r="F92" i="1"/>
  <c r="F93" i="1" s="1"/>
  <c r="E92" i="1"/>
  <c r="D92" i="1"/>
  <c r="G91" i="1"/>
  <c r="G93" i="1" s="1"/>
  <c r="F91" i="1"/>
  <c r="E91" i="1"/>
  <c r="E93" i="1" s="1"/>
  <c r="D91" i="1"/>
  <c r="D93" i="1" s="1"/>
  <c r="I88" i="1"/>
  <c r="J87" i="1" s="1"/>
  <c r="J88" i="1" s="1"/>
  <c r="K87" i="1" s="1"/>
  <c r="H88" i="1"/>
  <c r="I87" i="1"/>
  <c r="J84" i="1"/>
  <c r="I84" i="1"/>
  <c r="X79" i="1"/>
  <c r="X84" i="1" s="1"/>
  <c r="W79" i="1"/>
  <c r="W84" i="1" s="1"/>
  <c r="V79" i="1"/>
  <c r="V84" i="1" s="1"/>
  <c r="U79" i="1"/>
  <c r="U84" i="1" s="1"/>
  <c r="T79" i="1"/>
  <c r="T84" i="1" s="1"/>
  <c r="S79" i="1"/>
  <c r="R79" i="1"/>
  <c r="R84" i="1" s="1"/>
  <c r="Q79" i="1"/>
  <c r="P79" i="1"/>
  <c r="P84" i="1" s="1"/>
  <c r="O79" i="1"/>
  <c r="N79" i="1"/>
  <c r="N84" i="1" s="1"/>
  <c r="M79" i="1"/>
  <c r="L79" i="1"/>
  <c r="L84" i="1" s="1"/>
  <c r="K79" i="1"/>
  <c r="T71" i="1"/>
  <c r="L71" i="1"/>
  <c r="X69" i="1"/>
  <c r="X71" i="1" s="1"/>
  <c r="W69" i="1"/>
  <c r="W71" i="1" s="1"/>
  <c r="V69" i="1"/>
  <c r="V71" i="1" s="1"/>
  <c r="U69" i="1"/>
  <c r="U71" i="1" s="1"/>
  <c r="T69" i="1"/>
  <c r="S69" i="1"/>
  <c r="S71" i="1" s="1"/>
  <c r="R69" i="1"/>
  <c r="R71" i="1" s="1"/>
  <c r="Q69" i="1"/>
  <c r="Q71" i="1" s="1"/>
  <c r="P69" i="1"/>
  <c r="P71" i="1" s="1"/>
  <c r="O69" i="1"/>
  <c r="O71" i="1" s="1"/>
  <c r="N69" i="1"/>
  <c r="N71" i="1" s="1"/>
  <c r="M69" i="1"/>
  <c r="M71" i="1" s="1"/>
  <c r="L69" i="1"/>
  <c r="K69" i="1"/>
  <c r="K71" i="1" s="1"/>
  <c r="J69" i="1"/>
  <c r="J71" i="1" s="1"/>
  <c r="I69" i="1"/>
  <c r="H69" i="1"/>
  <c r="J62" i="1"/>
  <c r="I62" i="1"/>
  <c r="H62" i="1"/>
  <c r="X61" i="1"/>
  <c r="W61" i="1"/>
  <c r="V61" i="1"/>
  <c r="U61" i="1"/>
  <c r="T61" i="1"/>
  <c r="Q61" i="1"/>
  <c r="J61" i="1"/>
  <c r="J92" i="1" s="1"/>
  <c r="I61" i="1"/>
  <c r="I92" i="1" s="1"/>
  <c r="H61" i="1"/>
  <c r="V53" i="1"/>
  <c r="W53" i="1" s="1"/>
  <c r="X53" i="1" s="1"/>
  <c r="T53" i="1"/>
  <c r="U53" i="1" s="1"/>
  <c r="S53" i="1"/>
  <c r="X48" i="1"/>
  <c r="W48" i="1"/>
  <c r="V48" i="1"/>
  <c r="U48" i="1"/>
  <c r="T48" i="1"/>
  <c r="S48" i="1"/>
  <c r="S61" i="1" s="1"/>
  <c r="R48" i="1"/>
  <c r="R61" i="1" s="1"/>
  <c r="R92" i="1" s="1"/>
  <c r="Q48" i="1"/>
  <c r="P48" i="1"/>
  <c r="P61" i="1" s="1"/>
  <c r="P92" i="1" s="1"/>
  <c r="O48" i="1"/>
  <c r="O61" i="1" s="1"/>
  <c r="N48" i="1"/>
  <c r="N61" i="1" s="1"/>
  <c r="M48" i="1"/>
  <c r="M61" i="1" s="1"/>
  <c r="L48" i="1"/>
  <c r="L61" i="1" s="1"/>
  <c r="K48" i="1"/>
  <c r="K61" i="1" s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S40" i="1"/>
  <c r="R40" i="1"/>
  <c r="Q40" i="1"/>
  <c r="P40" i="1"/>
  <c r="O40" i="1"/>
  <c r="N40" i="1"/>
  <c r="M40" i="1"/>
  <c r="L40" i="1"/>
  <c r="K40" i="1"/>
  <c r="J40" i="1"/>
  <c r="I40" i="1"/>
  <c r="H40" i="1"/>
  <c r="H39" i="1"/>
  <c r="R38" i="1"/>
  <c r="T38" i="1" s="1"/>
  <c r="V38" i="1" s="1"/>
  <c r="X38" i="1" s="1"/>
  <c r="Q38" i="1"/>
  <c r="S38" i="1" s="1"/>
  <c r="U38" i="1" s="1"/>
  <c r="W38" i="1" s="1"/>
  <c r="P38" i="1"/>
  <c r="H38" i="1"/>
  <c r="S37" i="1"/>
  <c r="U37" i="1" s="1"/>
  <c r="W37" i="1" s="1"/>
  <c r="R37" i="1"/>
  <c r="T37" i="1" s="1"/>
  <c r="V37" i="1" s="1"/>
  <c r="X37" i="1" s="1"/>
  <c r="Q37" i="1"/>
  <c r="P37" i="1"/>
  <c r="O37" i="1"/>
  <c r="N37" i="1"/>
  <c r="M37" i="1"/>
  <c r="L37" i="1"/>
  <c r="K37" i="1"/>
  <c r="J37" i="1"/>
  <c r="I37" i="1"/>
  <c r="H37" i="1"/>
  <c r="S36" i="1"/>
  <c r="R36" i="1"/>
  <c r="Q36" i="1"/>
  <c r="P36" i="1"/>
  <c r="O36" i="1"/>
  <c r="N36" i="1"/>
  <c r="M36" i="1"/>
  <c r="L36" i="1"/>
  <c r="K36" i="1"/>
  <c r="J36" i="1"/>
  <c r="I36" i="1"/>
  <c r="H36" i="1"/>
  <c r="R35" i="1"/>
  <c r="T35" i="1" s="1"/>
  <c r="V35" i="1" s="1"/>
  <c r="X35" i="1" s="1"/>
  <c r="Q35" i="1"/>
  <c r="S35" i="1" s="1"/>
  <c r="U35" i="1" s="1"/>
  <c r="W35" i="1" s="1"/>
  <c r="P35" i="1"/>
  <c r="U34" i="1"/>
  <c r="W34" i="1" s="1"/>
  <c r="Q34" i="1"/>
  <c r="S34" i="1" s="1"/>
  <c r="P34" i="1"/>
  <c r="R34" i="1" s="1"/>
  <c r="T34" i="1" s="1"/>
  <c r="V34" i="1" s="1"/>
  <c r="X34" i="1" s="1"/>
  <c r="Q32" i="1"/>
  <c r="S32" i="1" s="1"/>
  <c r="U32" i="1" s="1"/>
  <c r="W32" i="1" s="1"/>
  <c r="P32" i="1"/>
  <c r="R32" i="1" s="1"/>
  <c r="T32" i="1" s="1"/>
  <c r="V32" i="1" s="1"/>
  <c r="X32" i="1" s="1"/>
  <c r="S31" i="1"/>
  <c r="R31" i="1"/>
  <c r="Q31" i="1"/>
  <c r="P31" i="1"/>
  <c r="O31" i="1"/>
  <c r="N31" i="1"/>
  <c r="M31" i="1"/>
  <c r="L31" i="1"/>
  <c r="K31" i="1"/>
  <c r="J31" i="1"/>
  <c r="I31" i="1"/>
  <c r="H31" i="1"/>
  <c r="Q30" i="1"/>
  <c r="S30" i="1" s="1"/>
  <c r="U30" i="1" s="1"/>
  <c r="W30" i="1" s="1"/>
  <c r="P30" i="1"/>
  <c r="R30" i="1" s="1"/>
  <c r="T30" i="1" s="1"/>
  <c r="V30" i="1" s="1"/>
  <c r="X30" i="1" s="1"/>
  <c r="S29" i="1"/>
  <c r="U29" i="1" s="1"/>
  <c r="W29" i="1" s="1"/>
  <c r="R29" i="1"/>
  <c r="T29" i="1" s="1"/>
  <c r="V29" i="1" s="1"/>
  <c r="X29" i="1" s="1"/>
  <c r="Q29" i="1"/>
  <c r="P29" i="1"/>
  <c r="O29" i="1"/>
  <c r="N29" i="1"/>
  <c r="M29" i="1"/>
  <c r="L29" i="1"/>
  <c r="K29" i="1"/>
  <c r="J29" i="1"/>
  <c r="I29" i="1"/>
  <c r="H29" i="1"/>
  <c r="S28" i="1"/>
  <c r="R28" i="1"/>
  <c r="Q28" i="1"/>
  <c r="P28" i="1"/>
  <c r="O28" i="1"/>
  <c r="N28" i="1"/>
  <c r="M28" i="1"/>
  <c r="L28" i="1"/>
  <c r="K28" i="1"/>
  <c r="J28" i="1"/>
  <c r="I28" i="1"/>
  <c r="H28" i="1"/>
  <c r="S27" i="1"/>
  <c r="R27" i="1"/>
  <c r="Q27" i="1"/>
  <c r="P27" i="1"/>
  <c r="O27" i="1"/>
  <c r="N27" i="1"/>
  <c r="M27" i="1"/>
  <c r="L27" i="1"/>
  <c r="K27" i="1"/>
  <c r="J27" i="1"/>
  <c r="I27" i="1"/>
  <c r="H27" i="1"/>
  <c r="S26" i="1"/>
  <c r="R26" i="1"/>
  <c r="Q26" i="1"/>
  <c r="P26" i="1"/>
  <c r="O26" i="1"/>
  <c r="N26" i="1"/>
  <c r="M26" i="1"/>
  <c r="L26" i="1"/>
  <c r="K26" i="1"/>
  <c r="J26" i="1"/>
  <c r="I26" i="1"/>
  <c r="H26" i="1"/>
  <c r="S25" i="1"/>
  <c r="R25" i="1"/>
  <c r="Q25" i="1"/>
  <c r="P25" i="1"/>
  <c r="O25" i="1"/>
  <c r="N25" i="1"/>
  <c r="M25" i="1"/>
  <c r="L25" i="1"/>
  <c r="K25" i="1"/>
  <c r="J25" i="1"/>
  <c r="I25" i="1"/>
  <c r="H25" i="1"/>
  <c r="S24" i="1"/>
  <c r="R24" i="1"/>
  <c r="Q24" i="1"/>
  <c r="P24" i="1"/>
  <c r="O24" i="1"/>
  <c r="N24" i="1"/>
  <c r="M24" i="1"/>
  <c r="L24" i="1"/>
  <c r="K24" i="1"/>
  <c r="J24" i="1"/>
  <c r="I24" i="1"/>
  <c r="H24" i="1"/>
  <c r="S23" i="1"/>
  <c r="T23" i="1" s="1"/>
  <c r="U23" i="1" s="1"/>
  <c r="V23" i="1" s="1"/>
  <c r="W23" i="1" s="1"/>
  <c r="X23" i="1" s="1"/>
  <c r="R23" i="1"/>
  <c r="Q23" i="1"/>
  <c r="P23" i="1"/>
  <c r="O23" i="1"/>
  <c r="N23" i="1"/>
  <c r="M23" i="1"/>
  <c r="L23" i="1"/>
  <c r="K23" i="1"/>
  <c r="J23" i="1"/>
  <c r="I23" i="1"/>
  <c r="H23" i="1"/>
  <c r="H43" i="1" s="1"/>
  <c r="A22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S15" i="1"/>
  <c r="R15" i="1"/>
  <c r="Q15" i="1"/>
  <c r="P15" i="1"/>
  <c r="O15" i="1"/>
  <c r="N15" i="1"/>
  <c r="M15" i="1"/>
  <c r="L15" i="1"/>
  <c r="K15" i="1"/>
  <c r="J15" i="1"/>
  <c r="I15" i="1"/>
  <c r="H15" i="1"/>
  <c r="J14" i="1"/>
  <c r="I12" i="1"/>
  <c r="H12" i="1"/>
  <c r="H10" i="1"/>
  <c r="C10" i="1"/>
  <c r="C9" i="1"/>
  <c r="C8" i="1"/>
  <c r="S7" i="1"/>
  <c r="T7" i="1" s="1"/>
  <c r="U7" i="1" s="1"/>
  <c r="V7" i="1" s="1"/>
  <c r="W7" i="1" s="1"/>
  <c r="X7" i="1" s="1"/>
  <c r="R7" i="1"/>
  <c r="Q7" i="1"/>
  <c r="P7" i="1"/>
  <c r="O7" i="1"/>
  <c r="N7" i="1"/>
  <c r="N4" i="1" s="1"/>
  <c r="M7" i="1"/>
  <c r="L7" i="1"/>
  <c r="K7" i="1"/>
  <c r="J7" i="1"/>
  <c r="H7" i="1"/>
  <c r="C7" i="1"/>
  <c r="S6" i="1"/>
  <c r="R6" i="1"/>
  <c r="Q6" i="1"/>
  <c r="P6" i="1"/>
  <c r="O6" i="1"/>
  <c r="N6" i="1"/>
  <c r="M6" i="1"/>
  <c r="L6" i="1"/>
  <c r="K6" i="1"/>
  <c r="J6" i="1"/>
  <c r="I6" i="1"/>
  <c r="H6" i="1"/>
  <c r="C6" i="1"/>
  <c r="S5" i="1"/>
  <c r="S4" i="1" s="1"/>
  <c r="R5" i="1"/>
  <c r="Q5" i="1"/>
  <c r="Q4" i="1" s="1"/>
  <c r="P5" i="1"/>
  <c r="P4" i="1" s="1"/>
  <c r="O5" i="1"/>
  <c r="O4" i="1" s="1"/>
  <c r="N5" i="1"/>
  <c r="M5" i="1"/>
  <c r="L5" i="1"/>
  <c r="L4" i="1" s="1"/>
  <c r="K5" i="1"/>
  <c r="K4" i="1" s="1"/>
  <c r="J5" i="1"/>
  <c r="I5" i="1"/>
  <c r="H5" i="1"/>
  <c r="H4" i="1" s="1"/>
  <c r="C5" i="1"/>
  <c r="M4" i="1"/>
  <c r="I4" i="1"/>
  <c r="I18" i="1" s="1"/>
  <c r="J3" i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I3" i="1"/>
  <c r="G3" i="1"/>
  <c r="J10" i="2" l="1"/>
  <c r="I10" i="2" s="1"/>
  <c r="M10" i="2" s="1"/>
  <c r="B11" i="2"/>
  <c r="K10" i="2"/>
  <c r="L10" i="2"/>
  <c r="O9" i="2"/>
  <c r="I9" i="2"/>
  <c r="M9" i="2" s="1"/>
  <c r="N92" i="1"/>
  <c r="J4" i="1"/>
  <c r="R4" i="1"/>
  <c r="I43" i="1"/>
  <c r="I19" i="1"/>
  <c r="K14" i="1"/>
  <c r="J12" i="1"/>
  <c r="J18" i="1" s="1"/>
  <c r="H18" i="1"/>
  <c r="T5" i="1"/>
  <c r="H47" i="1"/>
  <c r="H55" i="1" s="1"/>
  <c r="H60" i="1"/>
  <c r="H75" i="1"/>
  <c r="H71" i="1"/>
  <c r="M92" i="1"/>
  <c r="M84" i="1"/>
  <c r="Q92" i="1"/>
  <c r="Q84" i="1"/>
  <c r="K92" i="1"/>
  <c r="K84" i="1"/>
  <c r="O92" i="1"/>
  <c r="O84" i="1"/>
  <c r="S92" i="1"/>
  <c r="S84" i="1"/>
  <c r="L11" i="2" l="1"/>
  <c r="O10" i="2"/>
  <c r="K11" i="2"/>
  <c r="J11" i="2"/>
  <c r="I11" i="2" s="1"/>
  <c r="M11" i="2" s="1"/>
  <c r="B12" i="2"/>
  <c r="J43" i="1"/>
  <c r="J19" i="1"/>
  <c r="H84" i="1"/>
  <c r="H92" i="1"/>
  <c r="H65" i="1"/>
  <c r="H94" i="1"/>
  <c r="H91" i="1"/>
  <c r="H93" i="1" s="1"/>
  <c r="T4" i="1"/>
  <c r="U5" i="1"/>
  <c r="L14" i="1"/>
  <c r="K12" i="1"/>
  <c r="K18" i="1" s="1"/>
  <c r="I44" i="1"/>
  <c r="I60" i="1"/>
  <c r="I47" i="1"/>
  <c r="I55" i="1" s="1"/>
  <c r="I56" i="1" s="1"/>
  <c r="J12" i="2" l="1"/>
  <c r="I12" i="2" s="1"/>
  <c r="M12" i="2" s="1"/>
  <c r="B13" i="2"/>
  <c r="K12" i="2"/>
  <c r="L12" i="2"/>
  <c r="O11" i="2"/>
  <c r="K43" i="1"/>
  <c r="K19" i="1"/>
  <c r="I94" i="1"/>
  <c r="I91" i="1"/>
  <c r="I93" i="1" s="1"/>
  <c r="I65" i="1"/>
  <c r="T15" i="1"/>
  <c r="M14" i="1"/>
  <c r="L12" i="1"/>
  <c r="L18" i="1" s="1"/>
  <c r="V5" i="1"/>
  <c r="U4" i="1"/>
  <c r="J60" i="1"/>
  <c r="J44" i="1"/>
  <c r="J47" i="1"/>
  <c r="J55" i="1" s="1"/>
  <c r="J56" i="1" s="1"/>
  <c r="L13" i="2" l="1"/>
  <c r="O12" i="2"/>
  <c r="K13" i="2"/>
  <c r="B14" i="2"/>
  <c r="J13" i="2"/>
  <c r="I13" i="2" s="1"/>
  <c r="M13" i="2" s="1"/>
  <c r="J65" i="1"/>
  <c r="J91" i="1"/>
  <c r="J93" i="1" s="1"/>
  <c r="J94" i="1"/>
  <c r="N14" i="1"/>
  <c r="M12" i="1"/>
  <c r="M18" i="1" s="1"/>
  <c r="V4" i="1"/>
  <c r="W5" i="1"/>
  <c r="U15" i="1"/>
  <c r="L43" i="1"/>
  <c r="L19" i="1"/>
  <c r="K60" i="1"/>
  <c r="K47" i="1"/>
  <c r="K44" i="1"/>
  <c r="L14" i="2" l="1"/>
  <c r="O13" i="2"/>
  <c r="B15" i="2"/>
  <c r="J14" i="2"/>
  <c r="K14" i="2"/>
  <c r="L60" i="1"/>
  <c r="L44" i="1"/>
  <c r="L47" i="1"/>
  <c r="V15" i="1"/>
  <c r="K54" i="1"/>
  <c r="K62" i="1" s="1"/>
  <c r="K94" i="1" s="1"/>
  <c r="K55" i="1"/>
  <c r="K56" i="1" s="1"/>
  <c r="K65" i="1"/>
  <c r="K86" i="1" s="1"/>
  <c r="K88" i="1" s="1"/>
  <c r="L87" i="1" s="1"/>
  <c r="O14" i="1"/>
  <c r="N12" i="1"/>
  <c r="N18" i="1" s="1"/>
  <c r="W4" i="1"/>
  <c r="X5" i="1"/>
  <c r="X4" i="1" s="1"/>
  <c r="M43" i="1"/>
  <c r="M19" i="1"/>
  <c r="L15" i="2" l="1"/>
  <c r="I14" i="2"/>
  <c r="M14" i="2" s="1"/>
  <c r="O14" i="2" s="1"/>
  <c r="J15" i="2"/>
  <c r="K15" i="2"/>
  <c r="B16" i="2"/>
  <c r="M44" i="1"/>
  <c r="M60" i="1"/>
  <c r="M47" i="1"/>
  <c r="P14" i="1"/>
  <c r="O12" i="1"/>
  <c r="O18" i="1" s="1"/>
  <c r="L54" i="1"/>
  <c r="L62" i="1" s="1"/>
  <c r="L65" i="1" s="1"/>
  <c r="L86" i="1" s="1"/>
  <c r="L88" i="1" s="1"/>
  <c r="M87" i="1" s="1"/>
  <c r="X15" i="1"/>
  <c r="W15" i="1"/>
  <c r="K91" i="1"/>
  <c r="K93" i="1" s="1"/>
  <c r="N19" i="1"/>
  <c r="N43" i="1"/>
  <c r="L16" i="2" l="1"/>
  <c r="I15" i="2"/>
  <c r="M15" i="2" s="1"/>
  <c r="O15" i="2" s="1"/>
  <c r="K16" i="2"/>
  <c r="J16" i="2"/>
  <c r="I16" i="2" s="1"/>
  <c r="M16" i="2" s="1"/>
  <c r="L91" i="1"/>
  <c r="L93" i="1" s="1"/>
  <c r="M54" i="1"/>
  <c r="M62" i="1" s="1"/>
  <c r="M65" i="1" s="1"/>
  <c r="M86" i="1" s="1"/>
  <c r="M88" i="1" s="1"/>
  <c r="N87" i="1" s="1"/>
  <c r="L94" i="1"/>
  <c r="L55" i="1"/>
  <c r="L56" i="1" s="1"/>
  <c r="N47" i="1"/>
  <c r="N44" i="1"/>
  <c r="N60" i="1"/>
  <c r="O43" i="1"/>
  <c r="O19" i="1"/>
  <c r="Q14" i="1"/>
  <c r="P12" i="1"/>
  <c r="P18" i="1" s="1"/>
  <c r="O16" i="2" l="1"/>
  <c r="M94" i="1"/>
  <c r="M91" i="1"/>
  <c r="M93" i="1" s="1"/>
  <c r="M55" i="1"/>
  <c r="M56" i="1" s="1"/>
  <c r="P19" i="1"/>
  <c r="P43" i="1"/>
  <c r="N65" i="1"/>
  <c r="N86" i="1" s="1"/>
  <c r="N88" i="1" s="1"/>
  <c r="O87" i="1" s="1"/>
  <c r="R14" i="1"/>
  <c r="Q12" i="1"/>
  <c r="Q18" i="1" s="1"/>
  <c r="N54" i="1"/>
  <c r="N62" i="1" s="1"/>
  <c r="N94" i="1" s="1"/>
  <c r="O60" i="1"/>
  <c r="O47" i="1"/>
  <c r="O44" i="1"/>
  <c r="O54" i="1" l="1"/>
  <c r="O62" i="1" s="1"/>
  <c r="O65" i="1" s="1"/>
  <c r="O86" i="1" s="1"/>
  <c r="O88" i="1" s="1"/>
  <c r="P87" i="1" s="1"/>
  <c r="O55" i="1"/>
  <c r="O56" i="1" s="1"/>
  <c r="Q43" i="1"/>
  <c r="Q19" i="1"/>
  <c r="O94" i="1"/>
  <c r="O91" i="1"/>
  <c r="O93" i="1" s="1"/>
  <c r="S14" i="1"/>
  <c r="R12" i="1"/>
  <c r="R18" i="1" s="1"/>
  <c r="P47" i="1"/>
  <c r="P60" i="1"/>
  <c r="P44" i="1"/>
  <c r="N91" i="1"/>
  <c r="N93" i="1" s="1"/>
  <c r="N55" i="1"/>
  <c r="N56" i="1" s="1"/>
  <c r="P65" i="1" l="1"/>
  <c r="P86" i="1" s="1"/>
  <c r="P88" i="1" s="1"/>
  <c r="Q87" i="1" s="1"/>
  <c r="P94" i="1"/>
  <c r="Q44" i="1"/>
  <c r="Q60" i="1"/>
  <c r="Q47" i="1"/>
  <c r="P55" i="1"/>
  <c r="P56" i="1" s="1"/>
  <c r="P54" i="1"/>
  <c r="P62" i="1" s="1"/>
  <c r="P91" i="1" s="1"/>
  <c r="P93" i="1" s="1"/>
  <c r="R43" i="1"/>
  <c r="R19" i="1"/>
  <c r="T14" i="1"/>
  <c r="S12" i="1"/>
  <c r="S18" i="1" s="1"/>
  <c r="U14" i="1" l="1"/>
  <c r="T12" i="1"/>
  <c r="T18" i="1" s="1"/>
  <c r="Q54" i="1"/>
  <c r="Q62" i="1" s="1"/>
  <c r="Q94" i="1" s="1"/>
  <c r="R60" i="1"/>
  <c r="R44" i="1"/>
  <c r="R47" i="1"/>
  <c r="S43" i="1"/>
  <c r="S19" i="1"/>
  <c r="S60" i="1" l="1"/>
  <c r="S47" i="1"/>
  <c r="S44" i="1"/>
  <c r="R54" i="1"/>
  <c r="R62" i="1" s="1"/>
  <c r="R65" i="1" s="1"/>
  <c r="R86" i="1" s="1"/>
  <c r="Q65" i="1"/>
  <c r="Q86" i="1" s="1"/>
  <c r="Q88" i="1" s="1"/>
  <c r="R87" i="1" s="1"/>
  <c r="R94" i="1" s="1"/>
  <c r="T36" i="1"/>
  <c r="T19" i="1"/>
  <c r="T26" i="1" s="1"/>
  <c r="T33" i="1"/>
  <c r="T31" i="1"/>
  <c r="T25" i="1"/>
  <c r="T43" i="1" s="1"/>
  <c r="T28" i="1"/>
  <c r="T27" i="1"/>
  <c r="Q91" i="1"/>
  <c r="Q93" i="1" s="1"/>
  <c r="R91" i="1"/>
  <c r="R93" i="1" s="1"/>
  <c r="V14" i="1"/>
  <c r="U12" i="1"/>
  <c r="U18" i="1" s="1"/>
  <c r="Q55" i="1"/>
  <c r="Q56" i="1" s="1"/>
  <c r="R88" i="1" l="1"/>
  <c r="S87" i="1" s="1"/>
  <c r="T60" i="1"/>
  <c r="T65" i="1" s="1"/>
  <c r="T86" i="1" s="1"/>
  <c r="T88" i="1" s="1"/>
  <c r="U87" i="1" s="1"/>
  <c r="T44" i="1"/>
  <c r="T47" i="1"/>
  <c r="W14" i="1"/>
  <c r="V12" i="1"/>
  <c r="V18" i="1" s="1"/>
  <c r="S54" i="1"/>
  <c r="S55" i="1" s="1"/>
  <c r="S56" i="1" s="1"/>
  <c r="S94" i="1"/>
  <c r="S91" i="1"/>
  <c r="S93" i="1" s="1"/>
  <c r="S65" i="1"/>
  <c r="S86" i="1" s="1"/>
  <c r="S88" i="1" s="1"/>
  <c r="T87" i="1" s="1"/>
  <c r="U33" i="1"/>
  <c r="U31" i="1"/>
  <c r="U25" i="1"/>
  <c r="U28" i="1"/>
  <c r="U43" i="1" s="1"/>
  <c r="U19" i="1"/>
  <c r="U26" i="1" s="1"/>
  <c r="U36" i="1"/>
  <c r="U27" i="1"/>
  <c r="R55" i="1"/>
  <c r="R56" i="1" s="1"/>
  <c r="U44" i="1" l="1"/>
  <c r="U60" i="1"/>
  <c r="U65" i="1" s="1"/>
  <c r="U86" i="1" s="1"/>
  <c r="U88" i="1" s="1"/>
  <c r="V87" i="1" s="1"/>
  <c r="U47" i="1"/>
  <c r="T54" i="1"/>
  <c r="T55" i="1" s="1"/>
  <c r="T56" i="1" s="1"/>
  <c r="V36" i="1"/>
  <c r="V33" i="1"/>
  <c r="V31" i="1"/>
  <c r="V28" i="1"/>
  <c r="V27" i="1"/>
  <c r="V25" i="1"/>
  <c r="V19" i="1"/>
  <c r="V26" i="1" s="1"/>
  <c r="X14" i="1"/>
  <c r="X12" i="1" s="1"/>
  <c r="X18" i="1" s="1"/>
  <c r="W12" i="1"/>
  <c r="W18" i="1" s="1"/>
  <c r="V43" i="1" l="1"/>
  <c r="V47" i="1"/>
  <c r="V60" i="1"/>
  <c r="V65" i="1" s="1"/>
  <c r="V86" i="1" s="1"/>
  <c r="V88" i="1" s="1"/>
  <c r="W87" i="1" s="1"/>
  <c r="V44" i="1"/>
  <c r="W31" i="1"/>
  <c r="W33" i="1"/>
  <c r="W27" i="1"/>
  <c r="W19" i="1"/>
  <c r="W26" i="1" s="1"/>
  <c r="W25" i="1"/>
  <c r="W36" i="1"/>
  <c r="W28" i="1"/>
  <c r="U54" i="1"/>
  <c r="U55" i="1" s="1"/>
  <c r="U56" i="1" s="1"/>
  <c r="X36" i="1"/>
  <c r="X19" i="1"/>
  <c r="X26" i="1" s="1"/>
  <c r="X43" i="1" s="1"/>
  <c r="X25" i="1"/>
  <c r="X27" i="1"/>
  <c r="X28" i="1"/>
  <c r="X33" i="1"/>
  <c r="X31" i="1"/>
  <c r="W43" i="1" l="1"/>
  <c r="X47" i="1"/>
  <c r="X44" i="1"/>
  <c r="X60" i="1"/>
  <c r="X65" i="1" s="1"/>
  <c r="X86" i="1" s="1"/>
  <c r="X88" i="1" s="1"/>
  <c r="W60" i="1"/>
  <c r="W65" i="1" s="1"/>
  <c r="W86" i="1" s="1"/>
  <c r="W88" i="1" s="1"/>
  <c r="X87" i="1" s="1"/>
  <c r="W47" i="1"/>
  <c r="W44" i="1"/>
  <c r="V54" i="1"/>
  <c r="V55" i="1" s="1"/>
  <c r="V56" i="1" s="1"/>
  <c r="W54" i="1" l="1"/>
  <c r="W55" i="1"/>
  <c r="W56" i="1" s="1"/>
  <c r="X54" i="1"/>
  <c r="X55" i="1" s="1"/>
  <c r="X56" i="1" s="1"/>
</calcChain>
</file>

<file path=xl/comments1.xml><?xml version="1.0" encoding="utf-8"?>
<comments xmlns="http://schemas.openxmlformats.org/spreadsheetml/2006/main">
  <authors>
    <author>Author</author>
  </authors>
  <commentList>
    <comment ref="D64" authorId="0">
      <text>
        <r>
          <rPr>
            <b/>
            <sz val="8"/>
            <color indexed="81"/>
            <rFont val="Tahoma"/>
            <family val="2"/>
          </rPr>
          <t>inclusiv ajustarile din SABINE "</t>
        </r>
        <r>
          <rPr>
            <sz val="8"/>
            <color indexed="81"/>
            <rFont val="Tahoma"/>
            <family val="2"/>
          </rPr>
          <t xml:space="preserve">Rez. Financiar (cu efect cash)-ch. Cu dob.", adica Diferentele de curs valutar
</t>
        </r>
      </text>
    </comment>
    <comment ref="E68" authorId="0">
      <text>
        <r>
          <rPr>
            <b/>
            <sz val="8"/>
            <color indexed="81"/>
            <rFont val="Tahoma"/>
            <family val="2"/>
          </rPr>
          <t>FARA TVA</t>
        </r>
      </text>
    </comment>
    <comment ref="E81" authorId="0">
      <text>
        <r>
          <rPr>
            <b/>
            <sz val="8"/>
            <color indexed="81"/>
            <rFont val="Tahoma"/>
            <family val="2"/>
          </rPr>
          <t xml:space="preserve">aport asociat - up-front
</t>
        </r>
      </text>
    </comment>
    <comment ref="E83" authorId="0">
      <text>
        <r>
          <rPr>
            <b/>
            <sz val="8"/>
            <color indexed="81"/>
            <rFont val="Tahoma"/>
            <family val="2"/>
          </rPr>
          <t>avans grant</t>
        </r>
      </text>
    </comment>
  </commentList>
</comments>
</file>

<file path=xl/sharedStrings.xml><?xml version="1.0" encoding="utf-8"?>
<sst xmlns="http://schemas.openxmlformats.org/spreadsheetml/2006/main" count="217" uniqueCount="159">
  <si>
    <t>Proiect "achizitie instalatie transport cablu de tip telescaun - partia Sorica "; analiza perioada 2019-2027 (8 ani)</t>
  </si>
  <si>
    <t>P&amp;L</t>
  </si>
  <si>
    <t>Cont de profit si pierdere</t>
  </si>
  <si>
    <t xml:space="preserve"> ian-iun 2013</t>
  </si>
  <si>
    <t>Net Sales</t>
  </si>
  <si>
    <t>Cifra de afaceri (701-708)</t>
  </si>
  <si>
    <t>% YoY growth</t>
  </si>
  <si>
    <t>% crestere CA</t>
  </si>
  <si>
    <t>-</t>
  </si>
  <si>
    <t>Materials &amp; consumables</t>
  </si>
  <si>
    <t>Cheltuieli materii prime si materiale</t>
  </si>
  <si>
    <t xml:space="preserve">ch cu materii prime (601) </t>
  </si>
  <si>
    <t>alte ch materiale (602,603,604,606,608) - 5%</t>
  </si>
  <si>
    <t>cresterea/diminuarea provizioanelor</t>
  </si>
  <si>
    <t>External charges / COGS</t>
  </si>
  <si>
    <t>Costuri aferente vanzarilor, cheltuieli cu colaboratorii (621)</t>
  </si>
  <si>
    <t>Gross Income</t>
  </si>
  <si>
    <t>Valoare adaugata bruta</t>
  </si>
  <si>
    <t xml:space="preserve">     Gross margin %</t>
  </si>
  <si>
    <t xml:space="preserve">     Marja profit brut %</t>
  </si>
  <si>
    <t>+</t>
  </si>
  <si>
    <t>Other operating income</t>
  </si>
  <si>
    <t>Alte venituri din exploatare (758)</t>
  </si>
  <si>
    <t>alte venituri din exploatare nedefinite</t>
  </si>
  <si>
    <t>reluarea provizioanelor</t>
  </si>
  <si>
    <t>Human resource expenses</t>
  </si>
  <si>
    <t>Cheltuieli cu personalul (641,642,645) - 6 persoane</t>
  </si>
  <si>
    <t>SG&amp;A</t>
  </si>
  <si>
    <t>Alte cheltuieli din exploatare (654,658)</t>
  </si>
  <si>
    <t xml:space="preserve">ch cu intretinerea si reparatiile (611) - </t>
  </si>
  <si>
    <t xml:space="preserve">ch cu redevente si chirii (612) - </t>
  </si>
  <si>
    <t>ch protocol, reclama si publicitate (623)</t>
  </si>
  <si>
    <t>ch cu energia si apa (605)</t>
  </si>
  <si>
    <t>ch de transport (624, 625)</t>
  </si>
  <si>
    <t>ch comisioane (622)</t>
  </si>
  <si>
    <t>ch mijloace de comunicatie (626)</t>
  </si>
  <si>
    <t>ch cercetare si dezvoltare (614)</t>
  </si>
  <si>
    <t>ch cu asigurarile (613)</t>
  </si>
  <si>
    <t>ch cu deplasarile (625)</t>
  </si>
  <si>
    <t>alte ch de exploatare nedefinite</t>
  </si>
  <si>
    <t xml:space="preserve">servicii prestate de terti (628) </t>
  </si>
  <si>
    <t>cheltuieli bancare (627)</t>
  </si>
  <si>
    <t>ch cu redevente, chirii (612)</t>
  </si>
  <si>
    <t>ch mat stocate si inventar (603,604)</t>
  </si>
  <si>
    <t>Cheltuieli cu impozite si taxe (635)</t>
  </si>
  <si>
    <t xml:space="preserve"> +/-</t>
  </si>
  <si>
    <t>reduceri comerciale (acordate/primite) (609,709)</t>
  </si>
  <si>
    <t>constituirea altor provizioane generale</t>
  </si>
  <si>
    <t>EBITDA</t>
  </si>
  <si>
    <t>Rezultat din exploatare inainte de cheltuielile cu amortizarea (EBITDA)</t>
  </si>
  <si>
    <t xml:space="preserve">     EBITDA margin %</t>
  </si>
  <si>
    <t xml:space="preserve">     marja EBITDA %</t>
  </si>
  <si>
    <t>Depreciation</t>
  </si>
  <si>
    <t>Amortizari si proviz. din expl. pt.imobiliz. (681,686)</t>
  </si>
  <si>
    <t>Amortizarea subventiilor pt. investitii</t>
  </si>
  <si>
    <t>EBIT</t>
  </si>
  <si>
    <t>Rezultat din exploatare (EBIT)</t>
  </si>
  <si>
    <t>+/-</t>
  </si>
  <si>
    <t>Interest expenses</t>
  </si>
  <si>
    <t>Cheltuieli cu dobânzile (666)</t>
  </si>
  <si>
    <t>FX gain / (loss)</t>
  </si>
  <si>
    <t>Diferenţele de curs valutar (sold) (765,665)</t>
  </si>
  <si>
    <t>Other extraordinary incomes/(expenses)</t>
  </si>
  <si>
    <t>Alte venituri/(cheltuieli) extraordinare (767,768,771,671)</t>
  </si>
  <si>
    <t>Income from sale of fixed assets</t>
  </si>
  <si>
    <t>Venituri din vanzarea mijloacelor fixe</t>
  </si>
  <si>
    <t>Expenses related to sale of FA</t>
  </si>
  <si>
    <t>Cheltuieli cu vanzarea mijloacelor fixe</t>
  </si>
  <si>
    <t>Profit tax</t>
  </si>
  <si>
    <t>Impozit pe profit (691)</t>
  </si>
  <si>
    <t>Net Income</t>
  </si>
  <si>
    <t>Rezultat net al exercitiului (profit/pierdere)</t>
  </si>
  <si>
    <t xml:space="preserve">     Net Income margin</t>
  </si>
  <si>
    <t xml:space="preserve">     Marja profit net</t>
  </si>
  <si>
    <t xml:space="preserve">CASH FLOW </t>
  </si>
  <si>
    <t>A</t>
  </si>
  <si>
    <t>Operating Activity</t>
  </si>
  <si>
    <t>Activitate operationala</t>
  </si>
  <si>
    <t>Rez.din expl inaintea amort.si dupa corectii CF(EBITDA)</t>
  </si>
  <si>
    <t>Less: Interest expenses</t>
  </si>
  <si>
    <t>Cheltuieli cu dobanzile</t>
  </si>
  <si>
    <t>Less: Profit Tax</t>
  </si>
  <si>
    <t>Impozit pe profit</t>
  </si>
  <si>
    <t>Less: Working Capital changes</t>
  </si>
  <si>
    <t>Variatia capitalului circulant</t>
  </si>
  <si>
    <t>Other cash flow adjustments</t>
  </si>
  <si>
    <t>Alte ajustari ale CF-ului</t>
  </si>
  <si>
    <t>CF from Operating Activity</t>
  </si>
  <si>
    <t>Flux net de lichid. din activ.de exploat. [A+B]</t>
  </si>
  <si>
    <t>B</t>
  </si>
  <si>
    <t>Investing Activity</t>
  </si>
  <si>
    <t>Activitatea de investitii</t>
  </si>
  <si>
    <t>CAPEX (outflow)</t>
  </si>
  <si>
    <t>Plati pentru investitii (CAPEX), exclusiv TVA</t>
  </si>
  <si>
    <t>Income from Fixed assets sale</t>
  </si>
  <si>
    <t>Intrari din recuperare TVA</t>
  </si>
  <si>
    <t>Disposals/(purchase) of other fixed assets</t>
  </si>
  <si>
    <t>Alte variatii ale activelor pe TL</t>
  </si>
  <si>
    <t>CF from Investing Activity</t>
  </si>
  <si>
    <t>Flux net de lichiditati din activit.de investitii</t>
  </si>
  <si>
    <t>C</t>
  </si>
  <si>
    <t>Financing Activity</t>
  </si>
  <si>
    <t>Activitatea financiara</t>
  </si>
  <si>
    <t>Increase of  ST bank debt</t>
  </si>
  <si>
    <t>Acordari de credite pe termen scurt (plata TVA)</t>
  </si>
  <si>
    <t>Reimbursements of  ST bank debt</t>
  </si>
  <si>
    <t>Rambursari de credite pe termen scurt (TVA)</t>
  </si>
  <si>
    <t>Rambursari dobanzi credite termen scurt (TVA)</t>
  </si>
  <si>
    <t>Increase of LT bank debt &amp; financial leasing</t>
  </si>
  <si>
    <t>Acordari de credite pe termen lung si leasinguri</t>
  </si>
  <si>
    <t xml:space="preserve"> +</t>
  </si>
  <si>
    <t>Acordari de credite pe termen scurt (grant)</t>
  </si>
  <si>
    <t>Reimbursements of  LT bank debt &amp; financial leasing</t>
  </si>
  <si>
    <t>Rambursari de credite pe termen lung si leasinguri</t>
  </si>
  <si>
    <t>Rambursari de credite din incasare grant</t>
  </si>
  <si>
    <t>Cash Increase of capital / shareholders' loans, dividends received</t>
  </si>
  <si>
    <t>Acordari de imprumuturi asociati/actionari, incasari de dividende</t>
  </si>
  <si>
    <t>Repayment of shareholders' loans / dividends</t>
  </si>
  <si>
    <t>Retrageri de imprumut asociati/actionari, plati de dividende</t>
  </si>
  <si>
    <t>Inflows from grants</t>
  </si>
  <si>
    <t>Intrari surse nerambursabile (din 2011)</t>
  </si>
  <si>
    <t>CF from Financing Activity</t>
  </si>
  <si>
    <t>Flux net de lichid din activ.de finantare</t>
  </si>
  <si>
    <t>Net CF for the year</t>
  </si>
  <si>
    <t>CF net</t>
  </si>
  <si>
    <t>CASH at the beginning of period</t>
  </si>
  <si>
    <t>CASH la inceputul perioadei</t>
  </si>
  <si>
    <t>Cash at the end of period</t>
  </si>
  <si>
    <t>CASH la sfarsitul perioadei</t>
  </si>
  <si>
    <t>cash available for debt service</t>
  </si>
  <si>
    <t>debt service</t>
  </si>
  <si>
    <t>DSCR 1 (excl. accumulated cash)</t>
  </si>
  <si>
    <t>DSCR 2 (incl. accumulated cash)</t>
  </si>
  <si>
    <r>
      <t xml:space="preserve">DSCR 2 </t>
    </r>
    <r>
      <rPr>
        <sz val="10"/>
        <rFont val="Arial"/>
        <family val="2"/>
      </rPr>
      <t>(EBITDA-Imp. Profit - Variatii capital circulant - CAPEX + acordari credite TS/TL + aport asociati + cash la inceputul perioadei) / (Rate + dobanzi)</t>
    </r>
  </si>
  <si>
    <t>Estimari privind veniturile obtinute din functionarea telescaunului in sezonul schiabil (2019 - 2028)</t>
  </si>
  <si>
    <t>An</t>
  </si>
  <si>
    <t>Capacitate zilnica (nr. schiori/zi)</t>
  </si>
  <si>
    <t>Sezon mediu ski (nr. zile)</t>
  </si>
  <si>
    <t>Grad de ocupare partie</t>
  </si>
  <si>
    <t xml:space="preserve">Nr. mediu schiori sezon </t>
  </si>
  <si>
    <t>Tarif mediu lei/schi pass pe zi</t>
  </si>
  <si>
    <t>Nr. mediu zilnic schior</t>
  </si>
  <si>
    <t>Nr. skipass-uri achizitionate (% nr. mediu schiori)</t>
  </si>
  <si>
    <t>TOTAL venituri</t>
  </si>
  <si>
    <t>optima</t>
  </si>
  <si>
    <t>maxima (w/e)</t>
  </si>
  <si>
    <t>total</t>
  </si>
  <si>
    <t>in curs sapt.</t>
  </si>
  <si>
    <t>w/e si sarbatori</t>
  </si>
  <si>
    <t>an implementare</t>
  </si>
  <si>
    <t>Consideratii privind veniturile obtinute din functionarea telescaunului in sezonul schiabil (2019 - 2028):</t>
  </si>
  <si>
    <t>a. 1000 reprezinta capacitatea medie zilnica de schiori estimata pt partia Sorica</t>
  </si>
  <si>
    <t>b. se are in vedere cresterea capacitatii mediei zilnice de schiori cu cel putin 35% pt urmatorii  ani (in medie 5% pe an)</t>
  </si>
  <si>
    <t>c. Durata unui sezon luata in considerare - 90 zile (15 dec. - 15 mar.); este o durata medie intrucat, insa estimam ca in conditii normale de iarna</t>
  </si>
  <si>
    <t>durata sezonului pentru schi poate fi extinsa semnificativ; Orasu Azuga are unul din cele mai bune sisteme de producere zapada artificiala</t>
  </si>
  <si>
    <t>In plus, incadrarea partiei sorica intre doua linii limita padure creaza conditiile favorabile pentru pastrarea zapazii pe o perioada mai indelungata</t>
  </si>
  <si>
    <t xml:space="preserve">d. Gradul de ocupare (35% in cursul saptamanii si respectiv 60% in w/e) este luat in considerare in functie de istoricul aferent zonei </t>
  </si>
  <si>
    <t xml:space="preserve">e. Tariful mediu de 114 lei (tarif skypass fara TVA); Este unul din cele mai competitive tarife din zona; </t>
  </si>
  <si>
    <t>De exemplu, celalalt operator privat are skypass-uri in Sinaia, Busteni si Predal la 145 ron (pret cu TV); Valoarea skypass-uului nu este indexata pe perioada imprumutului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</si>
</sst>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\ _l_e_i_-;\-* #,##0\ _l_e_i_-;_-* &quot;-&quot;??\ _l_e_i_-;_-@_-"/>
    <numFmt numFmtId="165" formatCode="_-* #,##0_€_-;\-* #,##0_€_-;_-* &quot;-&quot;??_€_-;_-@_-"/>
    <numFmt numFmtId="166" formatCode="_-* #,##0.0_€_-;\-* #,##0.0_€_-;_-* &quot;-&quot;??_€_-;_-@_-"/>
    <numFmt numFmtId="167" formatCode="_-* #,##0.00_€_-;\-* #,##0.00_€_-;_-* &quot;-&quot;??_€_-;_-@_-"/>
    <numFmt numFmtId="168" formatCode="_-* #,##0.00\ _l_e_i_-;\-* #,##0.00\ _l_e_i_-;_-* &quot;-&quot;??\ _l_e_i_-;_-@_-"/>
    <numFmt numFmtId="169" formatCode="[$-409]d\-mmm\-yyyy;@"/>
    <numFmt numFmtId="170" formatCode="_(* #,##0_);_(* \(#,##0\);_(* &quot;-&quot;??_);_(@_)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sz val="10"/>
      <color indexed="60"/>
      <name val="Arial"/>
      <family val="2"/>
    </font>
    <font>
      <b/>
      <sz val="10"/>
      <color indexed="6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Warnock Pro Light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1"/>
    </font>
    <font>
      <sz val="11"/>
      <color indexed="8"/>
      <name val="Calibri"/>
      <family val="2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/>
    <xf numFmtId="0" fontId="13" fillId="0" borderId="0"/>
    <xf numFmtId="0" fontId="1" fillId="0" borderId="0"/>
    <xf numFmtId="0" fontId="16" fillId="0" borderId="0"/>
    <xf numFmtId="0" fontId="14" fillId="0" borderId="0"/>
    <xf numFmtId="9" fontId="16" fillId="0" borderId="0" applyFont="0" applyFill="0" applyBorder="0" applyAlignment="0" applyProtection="0"/>
    <xf numFmtId="4" fontId="17" fillId="0" borderId="0"/>
    <xf numFmtId="43" fontId="18" fillId="0" borderId="0" applyFont="0" applyFill="0" applyBorder="0" applyAlignment="0" applyProtection="0"/>
  </cellStyleXfs>
  <cellXfs count="277">
    <xf numFmtId="0" fontId="0" fillId="0" borderId="0" xfId="0"/>
    <xf numFmtId="37" fontId="1" fillId="0" borderId="0" xfId="1" applyNumberFormat="1" applyFont="1"/>
    <xf numFmtId="37" fontId="1" fillId="0" borderId="0" xfId="1" applyNumberFormat="1" applyFont="1" applyAlignment="1">
      <alignment wrapText="1"/>
    </xf>
    <xf numFmtId="0" fontId="1" fillId="0" borderId="0" xfId="2" applyFont="1"/>
    <xf numFmtId="0" fontId="1" fillId="2" borderId="0" xfId="2" applyFont="1" applyFill="1"/>
    <xf numFmtId="37" fontId="3" fillId="0" borderId="0" xfId="1" applyNumberFormat="1" applyFont="1" applyAlignment="1">
      <alignment wrapText="1"/>
    </xf>
    <xf numFmtId="37" fontId="1" fillId="0" borderId="0" xfId="1" applyNumberFormat="1" applyFont="1" applyFill="1"/>
    <xf numFmtId="39" fontId="1" fillId="0" borderId="0" xfId="1" applyNumberFormat="1" applyFont="1" applyFill="1"/>
    <xf numFmtId="37" fontId="4" fillId="3" borderId="1" xfId="1" applyNumberFormat="1" applyFont="1" applyFill="1" applyBorder="1"/>
    <xf numFmtId="0" fontId="3" fillId="3" borderId="2" xfId="1" applyNumberFormat="1" applyFont="1" applyFill="1" applyBorder="1" applyAlignment="1">
      <alignment wrapText="1"/>
    </xf>
    <xf numFmtId="0" fontId="3" fillId="3" borderId="3" xfId="1" applyNumberFormat="1" applyFont="1" applyFill="1" applyBorder="1" applyAlignment="1">
      <alignment wrapText="1"/>
    </xf>
    <xf numFmtId="0" fontId="3" fillId="3" borderId="4" xfId="1" applyNumberFormat="1" applyFont="1" applyFill="1" applyBorder="1" applyAlignment="1">
      <alignment horizontal="center"/>
    </xf>
    <xf numFmtId="0" fontId="3" fillId="3" borderId="1" xfId="1" applyNumberFormat="1" applyFont="1" applyFill="1" applyBorder="1" applyAlignment="1">
      <alignment horizontal="center"/>
    </xf>
    <xf numFmtId="0" fontId="3" fillId="3" borderId="2" xfId="1" applyNumberFormat="1" applyFont="1" applyFill="1" applyBorder="1" applyAlignment="1">
      <alignment horizontal="center"/>
    </xf>
    <xf numFmtId="0" fontId="3" fillId="3" borderId="3" xfId="1" applyNumberFormat="1" applyFont="1" applyFill="1" applyBorder="1" applyAlignment="1">
      <alignment horizontal="center"/>
    </xf>
    <xf numFmtId="0" fontId="3" fillId="3" borderId="5" xfId="1" applyNumberFormat="1" applyFont="1" applyFill="1" applyBorder="1" applyAlignment="1">
      <alignment horizontal="center"/>
    </xf>
    <xf numFmtId="0" fontId="3" fillId="3" borderId="6" xfId="1" applyNumberFormat="1" applyFont="1" applyFill="1" applyBorder="1" applyAlignment="1">
      <alignment horizontal="center"/>
    </xf>
    <xf numFmtId="0" fontId="3" fillId="3" borderId="7" xfId="1" applyNumberFormat="1" applyFont="1" applyFill="1" applyBorder="1" applyAlignment="1">
      <alignment horizontal="center"/>
    </xf>
    <xf numFmtId="37" fontId="1" fillId="0" borderId="8" xfId="1" applyNumberFormat="1" applyFont="1" applyBorder="1"/>
    <xf numFmtId="37" fontId="3" fillId="0" borderId="9" xfId="1" applyNumberFormat="1" applyFont="1" applyBorder="1" applyAlignment="1">
      <alignment wrapText="1"/>
    </xf>
    <xf numFmtId="37" fontId="3" fillId="0" borderId="10" xfId="1" applyNumberFormat="1" applyFont="1" applyBorder="1" applyAlignment="1">
      <alignment wrapText="1"/>
    </xf>
    <xf numFmtId="165" fontId="3" fillId="4" borderId="9" xfId="1" applyNumberFormat="1" applyFont="1" applyFill="1" applyBorder="1" applyProtection="1">
      <protection locked="0"/>
    </xf>
    <xf numFmtId="165" fontId="3" fillId="4" borderId="10" xfId="1" applyNumberFormat="1" applyFont="1" applyFill="1" applyBorder="1" applyProtection="1">
      <protection locked="0"/>
    </xf>
    <xf numFmtId="165" fontId="3" fillId="4" borderId="11" xfId="1" applyNumberFormat="1" applyFont="1" applyFill="1" applyBorder="1" applyProtection="1">
      <protection locked="0"/>
    </xf>
    <xf numFmtId="165" fontId="3" fillId="4" borderId="12" xfId="1" applyNumberFormat="1" applyFont="1" applyFill="1" applyBorder="1" applyProtection="1">
      <protection locked="0"/>
    </xf>
    <xf numFmtId="165" fontId="3" fillId="4" borderId="13" xfId="1" applyNumberFormat="1" applyFont="1" applyFill="1" applyBorder="1" applyProtection="1">
      <protection locked="0"/>
    </xf>
    <xf numFmtId="165" fontId="3" fillId="4" borderId="14" xfId="1" applyNumberFormat="1" applyFont="1" applyFill="1" applyBorder="1" applyProtection="1">
      <protection locked="0"/>
    </xf>
    <xf numFmtId="37" fontId="1" fillId="0" borderId="10" xfId="1" applyNumberFormat="1" applyFont="1" applyBorder="1" applyAlignment="1">
      <alignment wrapText="1"/>
    </xf>
    <xf numFmtId="37" fontId="1" fillId="4" borderId="11" xfId="1" applyNumberFormat="1" applyFont="1" applyFill="1" applyBorder="1" applyProtection="1">
      <protection locked="0"/>
    </xf>
    <xf numFmtId="37" fontId="1" fillId="4" borderId="8" xfId="1" applyNumberFormat="1" applyFont="1" applyFill="1" applyBorder="1" applyProtection="1">
      <protection locked="0"/>
    </xf>
    <xf numFmtId="37" fontId="1" fillId="4" borderId="9" xfId="1" applyNumberFormat="1" applyFont="1" applyFill="1" applyBorder="1" applyProtection="1">
      <protection locked="0"/>
    </xf>
    <xf numFmtId="37" fontId="1" fillId="4" borderId="10" xfId="1" applyNumberFormat="1" applyFont="1" applyFill="1" applyBorder="1" applyProtection="1">
      <protection locked="0"/>
    </xf>
    <xf numFmtId="37" fontId="1" fillId="4" borderId="12" xfId="1" applyNumberFormat="1" applyFont="1" applyFill="1" applyBorder="1" applyProtection="1">
      <protection locked="0"/>
    </xf>
    <xf numFmtId="37" fontId="1" fillId="4" borderId="13" xfId="1" applyNumberFormat="1" applyFont="1" applyFill="1" applyBorder="1" applyProtection="1">
      <protection locked="0"/>
    </xf>
    <xf numFmtId="37" fontId="1" fillId="4" borderId="15" xfId="1" applyNumberFormat="1" applyFont="1" applyFill="1" applyBorder="1" applyProtection="1">
      <protection locked="0"/>
    </xf>
    <xf numFmtId="37" fontId="1" fillId="5" borderId="10" xfId="1" applyNumberFormat="1" applyFont="1" applyFill="1" applyBorder="1" applyProtection="1">
      <protection locked="0"/>
    </xf>
    <xf numFmtId="37" fontId="1" fillId="6" borderId="10" xfId="1" applyNumberFormat="1" applyFont="1" applyFill="1" applyBorder="1" applyProtection="1">
      <protection locked="0"/>
    </xf>
    <xf numFmtId="37" fontId="5" fillId="0" borderId="9" xfId="1" applyNumberFormat="1" applyFont="1" applyBorder="1" applyAlignment="1">
      <alignment wrapText="1"/>
    </xf>
    <xf numFmtId="37" fontId="5" fillId="0" borderId="10" xfId="1" applyNumberFormat="1" applyFont="1" applyBorder="1" applyAlignment="1">
      <alignment wrapText="1"/>
    </xf>
    <xf numFmtId="37" fontId="5" fillId="0" borderId="11" xfId="1" applyNumberFormat="1" applyFont="1" applyFill="1" applyBorder="1" applyProtection="1"/>
    <xf numFmtId="9" fontId="5" fillId="0" borderId="8" xfId="3" applyFont="1" applyFill="1" applyBorder="1" applyProtection="1"/>
    <xf numFmtId="9" fontId="5" fillId="0" borderId="9" xfId="3" applyFont="1" applyFill="1" applyBorder="1" applyProtection="1"/>
    <xf numFmtId="9" fontId="5" fillId="0" borderId="9" xfId="3" applyFont="1" applyBorder="1" applyProtection="1"/>
    <xf numFmtId="9" fontId="5" fillId="0" borderId="10" xfId="3" applyFont="1" applyBorder="1" applyProtection="1"/>
    <xf numFmtId="9" fontId="5" fillId="0" borderId="11" xfId="3" applyFont="1" applyBorder="1" applyProtection="1"/>
    <xf numFmtId="9" fontId="5" fillId="0" borderId="12" xfId="3" applyFont="1" applyBorder="1" applyProtection="1"/>
    <xf numFmtId="9" fontId="5" fillId="0" borderId="13" xfId="3" applyFont="1" applyBorder="1" applyProtection="1"/>
    <xf numFmtId="9" fontId="5" fillId="0" borderId="15" xfId="3" applyFont="1" applyBorder="1" applyProtection="1"/>
    <xf numFmtId="9" fontId="1" fillId="0" borderId="8" xfId="3" quotePrefix="1" applyFont="1" applyBorder="1"/>
    <xf numFmtId="37" fontId="1" fillId="0" borderId="9" xfId="1" applyNumberFormat="1" applyFont="1" applyBorder="1" applyAlignment="1">
      <alignment wrapText="1"/>
    </xf>
    <xf numFmtId="37" fontId="3" fillId="4" borderId="8" xfId="1" applyNumberFormat="1" applyFont="1" applyFill="1" applyBorder="1" applyProtection="1">
      <protection locked="0"/>
    </xf>
    <xf numFmtId="37" fontId="3" fillId="4" borderId="16" xfId="1" applyNumberFormat="1" applyFont="1" applyFill="1" applyBorder="1" applyProtection="1">
      <protection locked="0"/>
    </xf>
    <xf numFmtId="37" fontId="3" fillId="4" borderId="11" xfId="1" applyNumberFormat="1" applyFont="1" applyFill="1" applyBorder="1" applyProtection="1">
      <protection locked="0"/>
    </xf>
    <xf numFmtId="37" fontId="3" fillId="4" borderId="12" xfId="1" applyNumberFormat="1" applyFont="1" applyFill="1" applyBorder="1" applyProtection="1">
      <protection locked="0"/>
    </xf>
    <xf numFmtId="37" fontId="3" fillId="4" borderId="13" xfId="1" applyNumberFormat="1" applyFont="1" applyFill="1" applyBorder="1" applyProtection="1">
      <protection locked="0"/>
    </xf>
    <xf numFmtId="37" fontId="3" fillId="4" borderId="14" xfId="1" applyNumberFormat="1" applyFont="1" applyFill="1" applyBorder="1" applyProtection="1">
      <protection locked="0"/>
    </xf>
    <xf numFmtId="9" fontId="1" fillId="0" borderId="8" xfId="3" applyFont="1" applyBorder="1"/>
    <xf numFmtId="37" fontId="1" fillId="4" borderId="14" xfId="1" applyNumberFormat="1" applyFont="1" applyFill="1" applyBorder="1" applyProtection="1">
      <protection locked="0"/>
    </xf>
    <xf numFmtId="37" fontId="1" fillId="2" borderId="10" xfId="1" applyNumberFormat="1" applyFont="1" applyFill="1" applyBorder="1" applyAlignment="1">
      <alignment wrapText="1"/>
    </xf>
    <xf numFmtId="9" fontId="6" fillId="0" borderId="8" xfId="3" applyFont="1" applyBorder="1"/>
    <xf numFmtId="37" fontId="6" fillId="0" borderId="9" xfId="1" applyNumberFormat="1" applyFont="1" applyBorder="1" applyAlignment="1">
      <alignment wrapText="1"/>
    </xf>
    <xf numFmtId="37" fontId="6" fillId="4" borderId="11" xfId="1" applyNumberFormat="1" applyFont="1" applyFill="1" applyBorder="1" applyProtection="1">
      <protection locked="0"/>
    </xf>
    <xf numFmtId="37" fontId="6" fillId="4" borderId="8" xfId="1" applyNumberFormat="1" applyFont="1" applyFill="1" applyBorder="1" applyProtection="1">
      <protection locked="0"/>
    </xf>
    <xf numFmtId="37" fontId="6" fillId="4" borderId="14" xfId="1" applyNumberFormat="1" applyFont="1" applyFill="1" applyBorder="1" applyProtection="1">
      <protection locked="0"/>
    </xf>
    <xf numFmtId="37" fontId="6" fillId="4" borderId="12" xfId="1" applyNumberFormat="1" applyFont="1" applyFill="1" applyBorder="1" applyProtection="1">
      <protection locked="0"/>
    </xf>
    <xf numFmtId="37" fontId="6" fillId="4" borderId="13" xfId="1" applyNumberFormat="1" applyFont="1" applyFill="1" applyBorder="1" applyProtection="1">
      <protection locked="0"/>
    </xf>
    <xf numFmtId="0" fontId="6" fillId="0" borderId="0" xfId="2" applyFont="1"/>
    <xf numFmtId="0" fontId="1" fillId="4" borderId="10" xfId="2" applyFont="1" applyFill="1" applyBorder="1" applyProtection="1">
      <protection locked="0"/>
    </xf>
    <xf numFmtId="0" fontId="1" fillId="4" borderId="11" xfId="2" applyFont="1" applyFill="1" applyBorder="1" applyProtection="1">
      <protection locked="0"/>
    </xf>
    <xf numFmtId="0" fontId="1" fillId="4" borderId="12" xfId="2" applyFont="1" applyFill="1" applyBorder="1" applyProtection="1">
      <protection locked="0"/>
    </xf>
    <xf numFmtId="40" fontId="1" fillId="4" borderId="12" xfId="2" applyNumberFormat="1" applyFont="1" applyFill="1" applyBorder="1" applyProtection="1">
      <protection locked="0"/>
    </xf>
    <xf numFmtId="37" fontId="3" fillId="0" borderId="9" xfId="1" applyNumberFormat="1" applyFont="1" applyFill="1" applyBorder="1" applyAlignment="1">
      <alignment wrapText="1"/>
    </xf>
    <xf numFmtId="37" fontId="3" fillId="2" borderId="10" xfId="1" applyNumberFormat="1" applyFont="1" applyFill="1" applyBorder="1" applyAlignment="1">
      <alignment wrapText="1"/>
    </xf>
    <xf numFmtId="37" fontId="3" fillId="0" borderId="9" xfId="1" applyNumberFormat="1" applyFont="1" applyFill="1" applyBorder="1" applyProtection="1"/>
    <xf numFmtId="37" fontId="3" fillId="0" borderId="10" xfId="1" applyNumberFormat="1" applyFont="1" applyFill="1" applyBorder="1" applyProtection="1"/>
    <xf numFmtId="37" fontId="3" fillId="0" borderId="11" xfId="1" applyNumberFormat="1" applyFont="1" applyFill="1" applyBorder="1" applyProtection="1"/>
    <xf numFmtId="37" fontId="3" fillId="0" borderId="12" xfId="1" applyNumberFormat="1" applyFont="1" applyFill="1" applyBorder="1" applyProtection="1"/>
    <xf numFmtId="37" fontId="3" fillId="0" borderId="13" xfId="1" applyNumberFormat="1" applyFont="1" applyFill="1" applyBorder="1" applyProtection="1"/>
    <xf numFmtId="37" fontId="3" fillId="0" borderId="14" xfId="1" applyNumberFormat="1" applyFont="1" applyFill="1" applyBorder="1" applyProtection="1"/>
    <xf numFmtId="37" fontId="5" fillId="2" borderId="10" xfId="1" applyNumberFormat="1" applyFont="1" applyFill="1" applyBorder="1" applyAlignment="1">
      <alignment wrapText="1"/>
    </xf>
    <xf numFmtId="9" fontId="5" fillId="0" borderId="11" xfId="3" applyFont="1" applyFill="1" applyBorder="1" applyProtection="1"/>
    <xf numFmtId="0" fontId="5" fillId="0" borderId="8" xfId="3" applyNumberFormat="1" applyFont="1" applyFill="1" applyBorder="1" applyProtection="1"/>
    <xf numFmtId="9" fontId="5" fillId="0" borderId="16" xfId="3" applyFont="1" applyFill="1" applyBorder="1" applyProtection="1"/>
    <xf numFmtId="9" fontId="5" fillId="0" borderId="12" xfId="3" applyFont="1" applyFill="1" applyBorder="1" applyProtection="1"/>
    <xf numFmtId="9" fontId="5" fillId="0" borderId="13" xfId="3" applyFont="1" applyFill="1" applyBorder="1" applyProtection="1"/>
    <xf numFmtId="9" fontId="5" fillId="0" borderId="14" xfId="3" applyFont="1" applyFill="1" applyBorder="1" applyProtection="1"/>
    <xf numFmtId="165" fontId="1" fillId="4" borderId="11" xfId="1" applyNumberFormat="1" applyFont="1" applyFill="1" applyBorder="1" applyProtection="1">
      <protection locked="0"/>
    </xf>
    <xf numFmtId="165" fontId="1" fillId="4" borderId="8" xfId="1" applyNumberFormat="1" applyFont="1" applyFill="1" applyBorder="1" applyProtection="1">
      <protection locked="0"/>
    </xf>
    <xf numFmtId="165" fontId="1" fillId="4" borderId="9" xfId="1" applyNumberFormat="1" applyFont="1" applyFill="1" applyBorder="1" applyProtection="1">
      <protection locked="0"/>
    </xf>
    <xf numFmtId="165" fontId="1" fillId="4" borderId="10" xfId="1" applyNumberFormat="1" applyFont="1" applyFill="1" applyBorder="1" applyProtection="1">
      <protection locked="0"/>
    </xf>
    <xf numFmtId="165" fontId="1" fillId="4" borderId="12" xfId="1" applyNumberFormat="1" applyFont="1" applyFill="1" applyBorder="1" applyProtection="1">
      <protection locked="0"/>
    </xf>
    <xf numFmtId="165" fontId="1" fillId="4" borderId="13" xfId="1" applyNumberFormat="1" applyFont="1" applyFill="1" applyBorder="1" applyProtection="1">
      <protection locked="0"/>
    </xf>
    <xf numFmtId="165" fontId="1" fillId="4" borderId="15" xfId="1" applyNumberFormat="1" applyFont="1" applyFill="1" applyBorder="1" applyProtection="1">
      <protection locked="0"/>
    </xf>
    <xf numFmtId="0" fontId="1" fillId="2" borderId="10" xfId="2" applyFont="1" applyFill="1" applyBorder="1" applyAlignment="1" applyProtection="1">
      <alignment wrapText="1"/>
    </xf>
    <xf numFmtId="37" fontId="1" fillId="0" borderId="8" xfId="1" applyNumberFormat="1" applyFont="1" applyFill="1" applyBorder="1"/>
    <xf numFmtId="37" fontId="5" fillId="0" borderId="9" xfId="1" applyNumberFormat="1" applyFont="1" applyFill="1" applyBorder="1" applyAlignment="1">
      <alignment wrapText="1"/>
    </xf>
    <xf numFmtId="0" fontId="1" fillId="2" borderId="10" xfId="2" applyFont="1" applyFill="1" applyBorder="1" applyAlignment="1" applyProtection="1">
      <alignment vertical="top" wrapText="1"/>
    </xf>
    <xf numFmtId="0" fontId="3" fillId="2" borderId="10" xfId="2" applyFont="1" applyFill="1" applyBorder="1" applyAlignment="1" applyProtection="1">
      <alignment vertical="center" wrapText="1"/>
    </xf>
    <xf numFmtId="37" fontId="3" fillId="0" borderId="8" xfId="1" quotePrefix="1" applyNumberFormat="1" applyFont="1" applyBorder="1"/>
    <xf numFmtId="37" fontId="1" fillId="0" borderId="9" xfId="1" applyNumberFormat="1" applyFont="1" applyFill="1" applyBorder="1" applyAlignment="1">
      <alignment wrapText="1"/>
    </xf>
    <xf numFmtId="49" fontId="1" fillId="2" borderId="10" xfId="2" applyNumberFormat="1" applyFont="1" applyFill="1" applyBorder="1" applyAlignment="1" applyProtection="1">
      <alignment wrapText="1"/>
    </xf>
    <xf numFmtId="37" fontId="3" fillId="0" borderId="8" xfId="1" applyNumberFormat="1" applyFont="1" applyBorder="1"/>
    <xf numFmtId="37" fontId="1" fillId="0" borderId="10" xfId="1" applyNumberFormat="1" applyFont="1" applyFill="1" applyBorder="1" applyAlignment="1">
      <alignment wrapText="1"/>
    </xf>
    <xf numFmtId="37" fontId="1" fillId="0" borderId="8" xfId="1" applyNumberFormat="1" applyFont="1" applyFill="1" applyBorder="1" applyProtection="1">
      <protection locked="0"/>
    </xf>
    <xf numFmtId="37" fontId="1" fillId="0" borderId="10" xfId="1" applyNumberFormat="1" applyFont="1" applyFill="1" applyBorder="1" applyProtection="1">
      <protection locked="0"/>
    </xf>
    <xf numFmtId="37" fontId="1" fillId="0" borderId="11" xfId="1" applyNumberFormat="1" applyFont="1" applyFill="1" applyBorder="1" applyProtection="1">
      <protection locked="0"/>
    </xf>
    <xf numFmtId="37" fontId="1" fillId="0" borderId="12" xfId="1" applyNumberFormat="1" applyFont="1" applyFill="1" applyBorder="1" applyProtection="1">
      <protection locked="0"/>
    </xf>
    <xf numFmtId="37" fontId="1" fillId="0" borderId="13" xfId="1" applyNumberFormat="1" applyFont="1" applyFill="1" applyBorder="1" applyProtection="1">
      <protection locked="0"/>
    </xf>
    <xf numFmtId="37" fontId="1" fillId="0" borderId="14" xfId="1" applyNumberFormat="1" applyFont="1" applyFill="1" applyBorder="1" applyProtection="1">
      <protection locked="0"/>
    </xf>
    <xf numFmtId="0" fontId="3" fillId="0" borderId="10" xfId="2" applyFont="1" applyFill="1" applyBorder="1" applyAlignment="1" applyProtection="1">
      <alignment vertical="center" wrapText="1"/>
    </xf>
    <xf numFmtId="37" fontId="1" fillId="0" borderId="17" xfId="1" applyNumberFormat="1" applyFont="1" applyBorder="1"/>
    <xf numFmtId="37" fontId="5" fillId="0" borderId="18" xfId="1" applyNumberFormat="1" applyFont="1" applyFill="1" applyBorder="1" applyAlignment="1">
      <alignment wrapText="1"/>
    </xf>
    <xf numFmtId="37" fontId="5" fillId="0" borderId="19" xfId="1" applyNumberFormat="1" applyFont="1" applyFill="1" applyBorder="1" applyAlignment="1">
      <alignment wrapText="1"/>
    </xf>
    <xf numFmtId="9" fontId="5" fillId="0" borderId="20" xfId="3" applyFont="1" applyFill="1" applyBorder="1" applyProtection="1"/>
    <xf numFmtId="9" fontId="5" fillId="0" borderId="17" xfId="3" applyFont="1" applyFill="1" applyBorder="1" applyProtection="1"/>
    <xf numFmtId="9" fontId="5" fillId="0" borderId="21" xfId="3" applyFont="1" applyFill="1" applyBorder="1" applyProtection="1"/>
    <xf numFmtId="9" fontId="5" fillId="0" borderId="22" xfId="3" applyFont="1" applyFill="1" applyBorder="1" applyProtection="1"/>
    <xf numFmtId="9" fontId="5" fillId="0" borderId="23" xfId="3" applyFont="1" applyFill="1" applyBorder="1" applyProtection="1"/>
    <xf numFmtId="9" fontId="5" fillId="0" borderId="24" xfId="3" applyFont="1" applyFill="1" applyBorder="1" applyProtection="1"/>
    <xf numFmtId="37" fontId="1" fillId="0" borderId="25" xfId="1" applyNumberFormat="1" applyFont="1" applyBorder="1"/>
    <xf numFmtId="37" fontId="1" fillId="0" borderId="25" xfId="1" applyNumberFormat="1" applyFont="1" applyBorder="1" applyAlignment="1">
      <alignment wrapText="1"/>
    </xf>
    <xf numFmtId="37" fontId="1" fillId="0" borderId="26" xfId="1" applyNumberFormat="1" applyFont="1" applyFill="1" applyBorder="1"/>
    <xf numFmtId="37" fontId="1" fillId="0" borderId="27" xfId="1" applyNumberFormat="1" applyFont="1" applyFill="1" applyBorder="1"/>
    <xf numFmtId="37" fontId="1" fillId="0" borderId="25" xfId="1" applyNumberFormat="1" applyFont="1" applyFill="1" applyBorder="1"/>
    <xf numFmtId="0" fontId="1" fillId="0" borderId="25" xfId="2" applyFont="1" applyBorder="1"/>
    <xf numFmtId="37" fontId="4" fillId="3" borderId="2" xfId="1" applyNumberFormat="1" applyFont="1" applyFill="1" applyBorder="1" applyAlignment="1">
      <alignment wrapText="1"/>
    </xf>
    <xf numFmtId="37" fontId="1" fillId="3" borderId="4" xfId="1" applyNumberFormat="1" applyFont="1" applyFill="1" applyBorder="1"/>
    <xf numFmtId="37" fontId="1" fillId="3" borderId="1" xfId="1" applyNumberFormat="1" applyFont="1" applyFill="1" applyBorder="1"/>
    <xf numFmtId="37" fontId="1" fillId="3" borderId="2" xfId="1" applyNumberFormat="1" applyFont="1" applyFill="1" applyBorder="1"/>
    <xf numFmtId="0" fontId="1" fillId="3" borderId="3" xfId="2" applyFont="1" applyFill="1" applyBorder="1"/>
    <xf numFmtId="0" fontId="1" fillId="3" borderId="4" xfId="2" applyFont="1" applyFill="1" applyBorder="1"/>
    <xf numFmtId="0" fontId="1" fillId="3" borderId="5" xfId="2" applyFont="1" applyFill="1" applyBorder="1"/>
    <xf numFmtId="0" fontId="1" fillId="3" borderId="6" xfId="2" applyFont="1" applyFill="1" applyBorder="1"/>
    <xf numFmtId="0" fontId="1" fillId="3" borderId="28" xfId="2" applyFont="1" applyFill="1" applyBorder="1"/>
    <xf numFmtId="37" fontId="1" fillId="0" borderId="11" xfId="1" applyNumberFormat="1" applyFont="1" applyFill="1" applyBorder="1"/>
    <xf numFmtId="37" fontId="1" fillId="0" borderId="9" xfId="1" applyNumberFormat="1" applyFont="1" applyFill="1" applyBorder="1"/>
    <xf numFmtId="0" fontId="1" fillId="0" borderId="10" xfId="2" applyFont="1" applyBorder="1"/>
    <xf numFmtId="0" fontId="1" fillId="0" borderId="11" xfId="2" applyFont="1" applyBorder="1"/>
    <xf numFmtId="0" fontId="1" fillId="0" borderId="12" xfId="2" applyFont="1" applyBorder="1"/>
    <xf numFmtId="0" fontId="1" fillId="0" borderId="13" xfId="2" applyFont="1" applyBorder="1"/>
    <xf numFmtId="0" fontId="1" fillId="0" borderId="15" xfId="2" applyFont="1" applyBorder="1"/>
    <xf numFmtId="0" fontId="1" fillId="0" borderId="12" xfId="2" applyFont="1" applyFill="1" applyBorder="1" applyAlignment="1" applyProtection="1">
      <alignment vertical="center" wrapText="1"/>
    </xf>
    <xf numFmtId="37" fontId="1" fillId="0" borderId="8" xfId="1" applyNumberFormat="1" applyFont="1" applyFill="1" applyBorder="1" applyProtection="1"/>
    <xf numFmtId="37" fontId="1" fillId="0" borderId="9" xfId="1" applyNumberFormat="1" applyFont="1" applyFill="1" applyBorder="1" applyProtection="1"/>
    <xf numFmtId="37" fontId="1" fillId="0" borderId="9" xfId="1" applyNumberFormat="1" applyFont="1" applyBorder="1" applyProtection="1"/>
    <xf numFmtId="37" fontId="1" fillId="0" borderId="10" xfId="1" applyNumberFormat="1" applyFont="1" applyBorder="1" applyProtection="1"/>
    <xf numFmtId="37" fontId="1" fillId="0" borderId="11" xfId="1" applyNumberFormat="1" applyFont="1" applyBorder="1" applyProtection="1"/>
    <xf numFmtId="37" fontId="1" fillId="0" borderId="12" xfId="1" applyNumberFormat="1" applyFont="1" applyBorder="1" applyProtection="1"/>
    <xf numFmtId="37" fontId="1" fillId="0" borderId="13" xfId="1" applyNumberFormat="1" applyFont="1" applyBorder="1" applyProtection="1"/>
    <xf numFmtId="37" fontId="1" fillId="0" borderId="15" xfId="1" applyNumberFormat="1" applyFont="1" applyBorder="1" applyProtection="1"/>
    <xf numFmtId="37" fontId="1" fillId="0" borderId="10" xfId="1" applyNumberFormat="1" applyFont="1" applyFill="1" applyBorder="1" applyProtection="1"/>
    <xf numFmtId="37" fontId="1" fillId="0" borderId="15" xfId="1" applyNumberFormat="1" applyFont="1" applyFill="1" applyBorder="1" applyProtection="1"/>
    <xf numFmtId="37" fontId="1" fillId="0" borderId="11" xfId="1" applyNumberFormat="1" applyFont="1" applyFill="1" applyBorder="1" applyProtection="1"/>
    <xf numFmtId="37" fontId="1" fillId="0" borderId="12" xfId="1" applyNumberFormat="1" applyFont="1" applyFill="1" applyBorder="1" applyProtection="1"/>
    <xf numFmtId="37" fontId="1" fillId="0" borderId="13" xfId="1" applyNumberFormat="1" applyFont="1" applyFill="1" applyBorder="1" applyProtection="1"/>
    <xf numFmtId="0" fontId="1" fillId="0" borderId="10" xfId="2" applyFont="1" applyFill="1" applyBorder="1"/>
    <xf numFmtId="0" fontId="1" fillId="0" borderId="11" xfId="2" applyFont="1" applyFill="1" applyBorder="1"/>
    <xf numFmtId="0" fontId="1" fillId="0" borderId="12" xfId="2" applyFont="1" applyFill="1" applyBorder="1"/>
    <xf numFmtId="0" fontId="1" fillId="0" borderId="13" xfId="2" applyFont="1" applyFill="1" applyBorder="1"/>
    <xf numFmtId="0" fontId="1" fillId="0" borderId="15" xfId="2" applyFont="1" applyFill="1" applyBorder="1"/>
    <xf numFmtId="37" fontId="3" fillId="0" borderId="8" xfId="1" applyNumberFormat="1" applyFont="1" applyFill="1" applyBorder="1" applyProtection="1"/>
    <xf numFmtId="37" fontId="3" fillId="0" borderId="15" xfId="1" applyNumberFormat="1" applyFont="1" applyFill="1" applyBorder="1" applyProtection="1"/>
    <xf numFmtId="37" fontId="1" fillId="0" borderId="9" xfId="1" applyNumberFormat="1" applyFont="1" applyBorder="1"/>
    <xf numFmtId="0" fontId="1" fillId="0" borderId="29" xfId="2" applyFont="1" applyFill="1" applyBorder="1" applyAlignment="1" applyProtection="1">
      <alignment wrapText="1"/>
    </xf>
    <xf numFmtId="37" fontId="7" fillId="0" borderId="10" xfId="1" applyNumberFormat="1" applyFont="1" applyFill="1" applyBorder="1" applyProtection="1"/>
    <xf numFmtId="0" fontId="1" fillId="4" borderId="13" xfId="2" applyFont="1" applyFill="1" applyBorder="1" applyProtection="1">
      <protection locked="0"/>
    </xf>
    <xf numFmtId="0" fontId="1" fillId="4" borderId="15" xfId="2" applyFont="1" applyFill="1" applyBorder="1" applyProtection="1">
      <protection locked="0"/>
    </xf>
    <xf numFmtId="37" fontId="3" fillId="0" borderId="11" xfId="1" applyNumberFormat="1" applyFont="1" applyFill="1" applyBorder="1"/>
    <xf numFmtId="37" fontId="3" fillId="0" borderId="9" xfId="1" applyNumberFormat="1" applyFont="1" applyBorder="1" applyProtection="1"/>
    <xf numFmtId="37" fontId="3" fillId="0" borderId="10" xfId="1" applyNumberFormat="1" applyFont="1" applyBorder="1" applyProtection="1"/>
    <xf numFmtId="37" fontId="3" fillId="0" borderId="11" xfId="1" applyNumberFormat="1" applyFont="1" applyBorder="1" applyProtection="1"/>
    <xf numFmtId="37" fontId="3" fillId="0" borderId="12" xfId="1" applyNumberFormat="1" applyFont="1" applyBorder="1" applyProtection="1"/>
    <xf numFmtId="37" fontId="3" fillId="0" borderId="13" xfId="1" applyNumberFormat="1" applyFont="1" applyBorder="1" applyProtection="1"/>
    <xf numFmtId="37" fontId="3" fillId="0" borderId="15" xfId="1" applyNumberFormat="1" applyFont="1" applyBorder="1" applyProtection="1"/>
    <xf numFmtId="37" fontId="1" fillId="0" borderId="8" xfId="1" quotePrefix="1" applyNumberFormat="1" applyFont="1" applyBorder="1"/>
    <xf numFmtId="37" fontId="1" fillId="2" borderId="9" xfId="1" applyNumberFormat="1" applyFont="1" applyFill="1" applyBorder="1" applyAlignment="1">
      <alignment wrapText="1"/>
    </xf>
    <xf numFmtId="37" fontId="1" fillId="4" borderId="30" xfId="1" applyNumberFormat="1" applyFont="1" applyFill="1" applyBorder="1"/>
    <xf numFmtId="0" fontId="8" fillId="0" borderId="10" xfId="2" applyFont="1" applyFill="1" applyBorder="1" applyAlignment="1" applyProtection="1">
      <alignment vertical="center" wrapText="1"/>
    </xf>
    <xf numFmtId="37" fontId="9" fillId="0" borderId="8" xfId="1" applyNumberFormat="1" applyFont="1" applyBorder="1"/>
    <xf numFmtId="37" fontId="10" fillId="0" borderId="9" xfId="1" applyNumberFormat="1" applyFont="1" applyFill="1" applyBorder="1" applyAlignment="1">
      <alignment wrapText="1"/>
    </xf>
    <xf numFmtId="37" fontId="10" fillId="0" borderId="11" xfId="1" applyNumberFormat="1" applyFont="1" applyFill="1" applyBorder="1"/>
    <xf numFmtId="37" fontId="10" fillId="0" borderId="8" xfId="1" applyNumberFormat="1" applyFont="1" applyFill="1" applyBorder="1" applyProtection="1"/>
    <xf numFmtId="37" fontId="10" fillId="0" borderId="9" xfId="1" applyNumberFormat="1" applyFont="1" applyFill="1" applyBorder="1" applyProtection="1"/>
    <xf numFmtId="37" fontId="10" fillId="0" borderId="10" xfId="1" applyNumberFormat="1" applyFont="1" applyFill="1" applyBorder="1" applyProtection="1"/>
    <xf numFmtId="37" fontId="10" fillId="0" borderId="11" xfId="1" applyNumberFormat="1" applyFont="1" applyFill="1" applyBorder="1" applyProtection="1"/>
    <xf numFmtId="37" fontId="10" fillId="0" borderId="12" xfId="1" applyNumberFormat="1" applyFont="1" applyFill="1" applyBorder="1" applyProtection="1"/>
    <xf numFmtId="37" fontId="10" fillId="0" borderId="13" xfId="1" applyNumberFormat="1" applyFont="1" applyFill="1" applyBorder="1" applyProtection="1"/>
    <xf numFmtId="37" fontId="10" fillId="0" borderId="15" xfId="1" applyNumberFormat="1" applyFont="1" applyFill="1" applyBorder="1" applyProtection="1"/>
    <xf numFmtId="0" fontId="9" fillId="0" borderId="0" xfId="2" applyFont="1"/>
    <xf numFmtId="37" fontId="3" fillId="0" borderId="18" xfId="1" applyNumberFormat="1" applyFont="1" applyFill="1" applyBorder="1" applyAlignment="1">
      <alignment wrapText="1"/>
    </xf>
    <xf numFmtId="37" fontId="3" fillId="0" borderId="31" xfId="1" applyNumberFormat="1" applyFont="1" applyFill="1" applyBorder="1" applyAlignment="1">
      <alignment wrapText="1"/>
    </xf>
    <xf numFmtId="37" fontId="3" fillId="0" borderId="20" xfId="1" applyNumberFormat="1" applyFont="1" applyFill="1" applyBorder="1"/>
    <xf numFmtId="37" fontId="3" fillId="0" borderId="17" xfId="1" applyNumberFormat="1" applyFont="1" applyFill="1" applyBorder="1" applyProtection="1"/>
    <xf numFmtId="37" fontId="3" fillId="0" borderId="18" xfId="1" applyNumberFormat="1" applyFont="1" applyFill="1" applyBorder="1" applyProtection="1"/>
    <xf numFmtId="37" fontId="3" fillId="0" borderId="19" xfId="1" applyNumberFormat="1" applyFont="1" applyFill="1" applyBorder="1" applyProtection="1"/>
    <xf numFmtId="37" fontId="3" fillId="0" borderId="20" xfId="1" applyNumberFormat="1" applyFont="1" applyFill="1" applyBorder="1" applyProtection="1"/>
    <xf numFmtId="37" fontId="3" fillId="0" borderId="22" xfId="1" applyNumberFormat="1" applyFont="1" applyFill="1" applyBorder="1" applyProtection="1"/>
    <xf numFmtId="37" fontId="3" fillId="0" borderId="23" xfId="1" applyNumberFormat="1" applyFont="1" applyFill="1" applyBorder="1" applyProtection="1"/>
    <xf numFmtId="37" fontId="3" fillId="0" borderId="31" xfId="1" applyNumberFormat="1" applyFont="1" applyFill="1" applyBorder="1" applyProtection="1"/>
    <xf numFmtId="37" fontId="1" fillId="0" borderId="32" xfId="1" applyNumberFormat="1" applyFont="1" applyBorder="1"/>
    <xf numFmtId="37" fontId="1" fillId="0" borderId="32" xfId="1" applyNumberFormat="1" applyFont="1" applyFill="1" applyBorder="1" applyAlignment="1">
      <alignment wrapText="1"/>
    </xf>
    <xf numFmtId="37" fontId="1" fillId="0" borderId="33" xfId="1" applyNumberFormat="1" applyFont="1" applyFill="1" applyBorder="1"/>
    <xf numFmtId="37" fontId="1" fillId="0" borderId="1" xfId="1" applyNumberFormat="1" applyFont="1" applyFill="1" applyBorder="1"/>
    <xf numFmtId="37" fontId="1" fillId="0" borderId="2" xfId="1" applyNumberFormat="1" applyFont="1" applyFill="1" applyBorder="1"/>
    <xf numFmtId="0" fontId="1" fillId="0" borderId="28" xfId="2" applyFont="1" applyBorder="1"/>
    <xf numFmtId="37" fontId="1" fillId="0" borderId="0" xfId="1" applyNumberFormat="1" applyFont="1" applyBorder="1"/>
    <xf numFmtId="37" fontId="1" fillId="0" borderId="34" xfId="1" applyNumberFormat="1" applyFont="1" applyBorder="1" applyAlignment="1">
      <alignment wrapText="1"/>
    </xf>
    <xf numFmtId="37" fontId="1" fillId="0" borderId="35" xfId="1" applyNumberFormat="1" applyFont="1" applyFill="1" applyBorder="1"/>
    <xf numFmtId="37" fontId="1" fillId="0" borderId="28" xfId="1" applyNumberFormat="1" applyFont="1" applyFill="1" applyBorder="1"/>
    <xf numFmtId="37" fontId="1" fillId="0" borderId="0" xfId="1" applyNumberFormat="1" applyFont="1" applyFill="1" applyBorder="1"/>
    <xf numFmtId="37" fontId="1" fillId="0" borderId="30" xfId="1" applyNumberFormat="1" applyFont="1" applyBorder="1" applyAlignment="1">
      <alignment wrapText="1"/>
    </xf>
    <xf numFmtId="37" fontId="1" fillId="0" borderId="15" xfId="1" applyNumberFormat="1" applyFont="1" applyFill="1" applyBorder="1"/>
    <xf numFmtId="0" fontId="3" fillId="0" borderId="0" xfId="2" applyFont="1" applyFill="1" applyBorder="1" applyAlignment="1">
      <alignment wrapText="1"/>
    </xf>
    <xf numFmtId="0" fontId="3" fillId="0" borderId="8" xfId="2" applyFont="1" applyFill="1" applyBorder="1" applyAlignment="1">
      <alignment wrapText="1"/>
    </xf>
    <xf numFmtId="166" fontId="1" fillId="0" borderId="9" xfId="1" applyNumberFormat="1" applyFont="1" applyFill="1" applyBorder="1"/>
    <xf numFmtId="166" fontId="1" fillId="0" borderId="15" xfId="1" applyNumberFormat="1" applyFont="1" applyFill="1" applyBorder="1"/>
    <xf numFmtId="37" fontId="3" fillId="0" borderId="0" xfId="1" applyNumberFormat="1" applyFont="1"/>
    <xf numFmtId="37" fontId="3" fillId="0" borderId="17" xfId="1" applyNumberFormat="1" applyFont="1" applyBorder="1" applyAlignment="1">
      <alignment wrapText="1"/>
    </xf>
    <xf numFmtId="166" fontId="3" fillId="0" borderId="18" xfId="1" applyNumberFormat="1" applyFont="1" applyFill="1" applyBorder="1"/>
    <xf numFmtId="166" fontId="3" fillId="0" borderId="31" xfId="1" applyNumberFormat="1" applyFont="1" applyFill="1" applyBorder="1"/>
    <xf numFmtId="0" fontId="3" fillId="0" borderId="0" xfId="2" applyFont="1"/>
    <xf numFmtId="37" fontId="1" fillId="0" borderId="0" xfId="1" applyNumberFormat="1" applyFont="1" applyBorder="1" applyAlignment="1">
      <alignment wrapText="1"/>
    </xf>
    <xf numFmtId="167" fontId="1" fillId="0" borderId="0" xfId="1" applyNumberFormat="1" applyFont="1" applyFill="1"/>
    <xf numFmtId="167" fontId="1" fillId="0" borderId="0" xfId="1" applyNumberFormat="1" applyFont="1" applyBorder="1"/>
    <xf numFmtId="37" fontId="2" fillId="0" borderId="0" xfId="1" applyNumberFormat="1" applyFont="1" applyAlignment="1">
      <alignment horizontal="center" wrapText="1"/>
    </xf>
    <xf numFmtId="0" fontId="20" fillId="0" borderId="0" xfId="0" applyFont="1"/>
    <xf numFmtId="43" fontId="0" fillId="0" borderId="0" xfId="0" applyNumberFormat="1"/>
    <xf numFmtId="0" fontId="19" fillId="7" borderId="36" xfId="0" applyFont="1" applyFill="1" applyBorder="1" applyAlignment="1">
      <alignment horizontal="center" vertical="center"/>
    </xf>
    <xf numFmtId="0" fontId="19" fillId="7" borderId="37" xfId="0" applyFont="1" applyFill="1" applyBorder="1" applyAlignment="1">
      <alignment horizontal="center" vertical="center" wrapText="1"/>
    </xf>
    <xf numFmtId="0" fontId="19" fillId="7" borderId="38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7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39" xfId="0" applyFont="1" applyFill="1" applyBorder="1" applyAlignment="1">
      <alignment horizontal="center" vertical="center" wrapText="1"/>
    </xf>
    <xf numFmtId="0" fontId="19" fillId="7" borderId="35" xfId="0" applyFont="1" applyFill="1" applyBorder="1" applyAlignment="1">
      <alignment horizontal="center" vertical="center" wrapText="1"/>
    </xf>
    <xf numFmtId="0" fontId="19" fillId="7" borderId="28" xfId="0" applyFont="1" applyFill="1" applyBorder="1" applyAlignment="1">
      <alignment horizontal="center" vertical="center" wrapText="1"/>
    </xf>
    <xf numFmtId="0" fontId="19" fillId="7" borderId="40" xfId="0" applyFont="1" applyFill="1" applyBorder="1" applyAlignment="1">
      <alignment horizontal="center" vertical="center"/>
    </xf>
    <xf numFmtId="0" fontId="19" fillId="7" borderId="41" xfId="0" applyFont="1" applyFill="1" applyBorder="1" applyAlignment="1">
      <alignment horizontal="center" vertical="center"/>
    </xf>
    <xf numFmtId="0" fontId="19" fillId="7" borderId="41" xfId="0" applyFont="1" applyFill="1" applyBorder="1" applyAlignment="1">
      <alignment horizontal="center" vertical="center" wrapText="1"/>
    </xf>
    <xf numFmtId="0" fontId="19" fillId="7" borderId="29" xfId="0" applyFont="1" applyFill="1" applyBorder="1" applyAlignment="1">
      <alignment horizontal="center" vertical="center" wrapText="1"/>
    </xf>
    <xf numFmtId="0" fontId="19" fillId="7" borderId="25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19" fillId="7" borderId="4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8" xfId="0" applyBorder="1" applyAlignment="1">
      <alignment horizontal="center"/>
    </xf>
    <xf numFmtId="170" fontId="0" fillId="0" borderId="9" xfId="15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0" fontId="0" fillId="0" borderId="9" xfId="0" applyNumberFormat="1" applyBorder="1" applyAlignment="1">
      <alignment horizontal="center"/>
    </xf>
    <xf numFmtId="170" fontId="0" fillId="0" borderId="9" xfId="15" applyNumberFormat="1" applyFont="1" applyBorder="1"/>
    <xf numFmtId="43" fontId="0" fillId="0" borderId="9" xfId="15" applyFont="1" applyBorder="1"/>
    <xf numFmtId="43" fontId="0" fillId="0" borderId="9" xfId="15" applyNumberFormat="1" applyFont="1" applyBorder="1"/>
    <xf numFmtId="9" fontId="0" fillId="0" borderId="9" xfId="0" applyNumberFormat="1" applyBorder="1"/>
    <xf numFmtId="170" fontId="0" fillId="0" borderId="15" xfId="0" applyNumberFormat="1" applyBorder="1"/>
    <xf numFmtId="43" fontId="0" fillId="0" borderId="0" xfId="15" applyFont="1"/>
    <xf numFmtId="0" fontId="0" fillId="7" borderId="8" xfId="0" applyFill="1" applyBorder="1" applyAlignment="1">
      <alignment horizontal="center"/>
    </xf>
    <xf numFmtId="170" fontId="0" fillId="7" borderId="9" xfId="15" applyNumberFormat="1" applyFon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7" borderId="9" xfId="0" applyNumberFormat="1" applyFill="1" applyBorder="1" applyAlignment="1">
      <alignment horizontal="center"/>
    </xf>
    <xf numFmtId="170" fontId="0" fillId="7" borderId="9" xfId="15" applyNumberFormat="1" applyFont="1" applyFill="1" applyBorder="1"/>
    <xf numFmtId="43" fontId="0" fillId="7" borderId="9" xfId="15" applyFont="1" applyFill="1" applyBorder="1"/>
    <xf numFmtId="9" fontId="0" fillId="7" borderId="9" xfId="0" applyNumberFormat="1" applyFill="1" applyBorder="1"/>
    <xf numFmtId="170" fontId="0" fillId="7" borderId="15" xfId="0" applyNumberFormat="1" applyFill="1" applyBorder="1"/>
    <xf numFmtId="170" fontId="0" fillId="2" borderId="15" xfId="0" applyNumberFormat="1" applyFill="1" applyBorder="1"/>
    <xf numFmtId="170" fontId="0" fillId="0" borderId="0" xfId="0" applyNumberFormat="1"/>
    <xf numFmtId="0" fontId="0" fillId="0" borderId="44" xfId="0" applyBorder="1" applyAlignment="1">
      <alignment horizontal="center"/>
    </xf>
    <xf numFmtId="170" fontId="0" fillId="0" borderId="45" xfId="15" applyNumberFormat="1" applyFont="1" applyBorder="1" applyAlignment="1">
      <alignment horizontal="center"/>
    </xf>
    <xf numFmtId="0" fontId="0" fillId="0" borderId="45" xfId="0" applyBorder="1" applyAlignment="1">
      <alignment horizontal="center"/>
    </xf>
    <xf numFmtId="10" fontId="0" fillId="0" borderId="45" xfId="0" applyNumberFormat="1" applyBorder="1" applyAlignment="1">
      <alignment horizontal="center"/>
    </xf>
    <xf numFmtId="170" fontId="0" fillId="0" borderId="45" xfId="15" applyNumberFormat="1" applyFont="1" applyBorder="1"/>
    <xf numFmtId="9" fontId="0" fillId="0" borderId="45" xfId="0" applyNumberFormat="1" applyBorder="1"/>
    <xf numFmtId="170" fontId="0" fillId="0" borderId="46" xfId="0" applyNumberFormat="1" applyBorder="1"/>
    <xf numFmtId="0" fontId="19" fillId="0" borderId="0" xfId="0" applyFont="1"/>
  </cellXfs>
  <cellStyles count="16">
    <cellStyle name="Comma" xfId="15" builtinId="3"/>
    <cellStyle name="Comma 2" xfId="4"/>
    <cellStyle name="Comma 3" xfId="1"/>
    <cellStyle name="Comma 4" xfId="5"/>
    <cellStyle name="Comma 5" xfId="6"/>
    <cellStyle name="Comma 6" xfId="7"/>
    <cellStyle name="Excel Built-in Normal" xfId="8"/>
    <cellStyle name="Normal" xfId="0" builtinId="0"/>
    <cellStyle name="Normal 2" xfId="9"/>
    <cellStyle name="Normal 2 10" xfId="10"/>
    <cellStyle name="Normal 3" xfId="11"/>
    <cellStyle name="Normal 3 2" xfId="2"/>
    <cellStyle name="Normal 4" xfId="12"/>
    <cellStyle name="Percent 2" xfId="3"/>
    <cellStyle name="Percent 3" xfId="13"/>
    <cellStyle name="Valoare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ndreea.anton/Local%20Settings/Temporary%20Internet%20Files/OLKB9/Petrocart_Bk%20cas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SH%20FLOW%20SU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cturi"/>
      <sheetName val="Esalonare"/>
      <sheetName val="Credite TML"/>
      <sheetName val="CPP_Bk case"/>
      <sheetName val="CF Bank case"/>
      <sheetName val="Cr 4,4"/>
      <sheetName val="Cr 3"/>
      <sheetName val="CPP client refacut"/>
      <sheetName val="CF client"/>
      <sheetName val="Date I"/>
      <sheetName val="intern_export"/>
      <sheetName val="cont client"/>
      <sheetName val="Productie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0">
          <cell r="B20">
            <v>4.2484998151754905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ev turisti 2016_iun 2018"/>
      <sheetName val="circ turisti sinaia 2003-2012"/>
      <sheetName val="gradul de ocupare 2003-2012"/>
      <sheetName val="estimare nr turisti"/>
      <sheetName val="parcari"/>
      <sheetName val="venituri telegondola sezon schi"/>
      <sheetName val="CF SUSA"/>
      <sheetName val="CF proiect 10 ani"/>
      <sheetName val="credit"/>
      <sheetName val="grafic rambursare credit 10 ani"/>
      <sheetName val="amortizment proiect"/>
      <sheetName val="Sheet1"/>
      <sheetName val="cote defal Sinaia cf proiect"/>
      <sheetName val="consideratii banca"/>
      <sheetName val="buget 20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C7" t="str">
            <v xml:space="preserve"> - venituri din lucrari exec si serv prestate</v>
          </cell>
          <cell r="D7">
            <v>191151.62</v>
          </cell>
          <cell r="F7">
            <v>732951.49</v>
          </cell>
          <cell r="H7">
            <v>920222.38</v>
          </cell>
          <cell r="V7">
            <v>1371240</v>
          </cell>
          <cell r="W7">
            <v>1728677.5</v>
          </cell>
          <cell r="X7">
            <v>1828555.375</v>
          </cell>
          <cell r="Y7">
            <v>1904755.9637499999</v>
          </cell>
          <cell r="Z7">
            <v>1993769.2165375</v>
          </cell>
          <cell r="AA7">
            <v>2087046.395602375</v>
          </cell>
          <cell r="AB7">
            <v>2184795.0951676341</v>
          </cell>
          <cell r="AC7">
            <v>2287233.1211047103</v>
          </cell>
          <cell r="AD7">
            <v>2394588.9964740011</v>
          </cell>
        </row>
        <row r="11">
          <cell r="C11" t="str">
            <v xml:space="preserve"> - venituri din redevente, locatii de gestiuni</v>
          </cell>
          <cell r="D11">
            <v>61700.98</v>
          </cell>
          <cell r="F11">
            <v>150181.5</v>
          </cell>
          <cell r="H11">
            <v>156045</v>
          </cell>
          <cell r="V11">
            <v>166968.15000000002</v>
          </cell>
          <cell r="W11">
            <v>171977.19450000004</v>
          </cell>
          <cell r="X11">
            <v>177136.51033500006</v>
          </cell>
          <cell r="Y11">
            <v>182450.60564505006</v>
          </cell>
          <cell r="Z11">
            <v>187924.12381440157</v>
          </cell>
          <cell r="AA11">
            <v>193561.8475288336</v>
          </cell>
          <cell r="AB11">
            <v>199368.70295469862</v>
          </cell>
          <cell r="AC11">
            <v>205349.76404333959</v>
          </cell>
          <cell r="AD11">
            <v>211510.25696463979</v>
          </cell>
        </row>
        <row r="12">
          <cell r="C12" t="str">
            <v xml:space="preserve"> - alte venituri din exploatare</v>
          </cell>
          <cell r="D12">
            <v>10811.29</v>
          </cell>
          <cell r="H12">
            <v>4177.97</v>
          </cell>
          <cell r="V12">
            <v>20000</v>
          </cell>
          <cell r="W12">
            <v>20000</v>
          </cell>
          <cell r="X12">
            <v>20000</v>
          </cell>
          <cell r="Y12">
            <v>20000</v>
          </cell>
          <cell r="Z12">
            <v>20000</v>
          </cell>
          <cell r="AA12">
            <v>20000</v>
          </cell>
          <cell r="AB12">
            <v>20000</v>
          </cell>
          <cell r="AC12">
            <v>20000</v>
          </cell>
          <cell r="AD12">
            <v>20000</v>
          </cell>
        </row>
        <row r="13">
          <cell r="C13" t="str">
            <v>% crestere CA</v>
          </cell>
        </row>
        <row r="14">
          <cell r="C14" t="str">
            <v>Cheltuieli materii prime si materiale</v>
          </cell>
        </row>
        <row r="15">
          <cell r="C15" t="str">
            <v>Ch materiale consumabile (602,603,604,606,608)</v>
          </cell>
          <cell r="D15">
            <v>-5656.2199999999993</v>
          </cell>
          <cell r="F15">
            <v>-166924.95000000001</v>
          </cell>
          <cell r="H15">
            <v>-21940.199999999997</v>
          </cell>
          <cell r="V15">
            <v>-26328.239999999994</v>
          </cell>
          <cell r="W15">
            <v>-27644.651999999995</v>
          </cell>
          <cell r="X15">
            <v>-29026.884599999994</v>
          </cell>
          <cell r="Y15">
            <v>-31929.573059999995</v>
          </cell>
          <cell r="Z15">
            <v>-35122.530365999999</v>
          </cell>
          <cell r="AA15">
            <v>-38634.783402600006</v>
          </cell>
          <cell r="AB15">
            <v>-42498.261742860006</v>
          </cell>
          <cell r="AC15">
            <v>-46748.087917146011</v>
          </cell>
          <cell r="AD15">
            <v>-51422.896708860615</v>
          </cell>
        </row>
        <row r="16">
          <cell r="V16">
            <v>0</v>
          </cell>
          <cell r="W16">
            <v>-60000</v>
          </cell>
          <cell r="X16">
            <v>-60000</v>
          </cell>
          <cell r="Y16">
            <v>-60000</v>
          </cell>
          <cell r="Z16">
            <v>-60000</v>
          </cell>
          <cell r="AA16">
            <v>-60000</v>
          </cell>
          <cell r="AB16">
            <v>-60000</v>
          </cell>
          <cell r="AC16">
            <v>-60000</v>
          </cell>
          <cell r="AD16">
            <v>-60000</v>
          </cell>
        </row>
        <row r="20">
          <cell r="D20">
            <v>-146685</v>
          </cell>
          <cell r="F20">
            <v>-389187.91000000003</v>
          </cell>
          <cell r="H20">
            <v>-577559</v>
          </cell>
          <cell r="V20">
            <v>-606436.95000000007</v>
          </cell>
          <cell r="W20">
            <v>-636758.7975000001</v>
          </cell>
          <cell r="X20">
            <v>-668596.73737500014</v>
          </cell>
          <cell r="Y20">
            <v>-702026.57424375019</v>
          </cell>
          <cell r="Z20">
            <v>-737127.90295593778</v>
          </cell>
          <cell r="AA20">
            <v>-773984.29810373473</v>
          </cell>
          <cell r="AB20">
            <v>-812683.51300892152</v>
          </cell>
          <cell r="AC20">
            <v>-853317.68865936762</v>
          </cell>
          <cell r="AD20">
            <v>-895983.57309233607</v>
          </cell>
        </row>
        <row r="21">
          <cell r="D21">
            <v>0</v>
          </cell>
          <cell r="F21">
            <v>-9592.5</v>
          </cell>
          <cell r="H21">
            <v>-3490.93</v>
          </cell>
          <cell r="V21">
            <v>-5000</v>
          </cell>
          <cell r="W21">
            <v>-5250</v>
          </cell>
          <cell r="X21">
            <v>-5512.5</v>
          </cell>
          <cell r="Y21">
            <v>-5788.125</v>
          </cell>
          <cell r="Z21">
            <v>-6077.53125</v>
          </cell>
          <cell r="AA21">
            <v>-6381.4078125000005</v>
          </cell>
          <cell r="AB21">
            <v>-6700.4782031250006</v>
          </cell>
          <cell r="AC21">
            <v>-7035.5021132812508</v>
          </cell>
          <cell r="AD21">
            <v>-7387.2772189453135</v>
          </cell>
        </row>
        <row r="23">
          <cell r="D23">
            <v>0</v>
          </cell>
          <cell r="F23">
            <v>-3334.14</v>
          </cell>
          <cell r="H23">
            <v>-15378.3</v>
          </cell>
          <cell r="V23">
            <v>-16916.13</v>
          </cell>
          <cell r="W23">
            <v>-20299.356</v>
          </cell>
          <cell r="X23">
            <v>-22329.2916</v>
          </cell>
          <cell r="Y23">
            <v>-24562.220760000004</v>
          </cell>
          <cell r="Z23">
            <v>-27018.442836000006</v>
          </cell>
          <cell r="AA23">
            <v>-29720.287119600009</v>
          </cell>
          <cell r="AB23">
            <v>-32692.315831560012</v>
          </cell>
          <cell r="AC23">
            <v>-35961.547414716013</v>
          </cell>
          <cell r="AD23">
            <v>-39557.702156187617</v>
          </cell>
        </row>
        <row r="24">
          <cell r="D24">
            <v>-3380.45</v>
          </cell>
          <cell r="F24">
            <v>-5151.9399999999996</v>
          </cell>
          <cell r="H24">
            <v>-30519.97</v>
          </cell>
          <cell r="V24">
            <v>-2000</v>
          </cell>
          <cell r="W24">
            <v>-2000</v>
          </cell>
          <cell r="X24">
            <v>-2000</v>
          </cell>
          <cell r="Y24">
            <v>-2000</v>
          </cell>
          <cell r="Z24">
            <v>-2000</v>
          </cell>
          <cell r="AA24">
            <v>-2000</v>
          </cell>
          <cell r="AB24">
            <v>-2000</v>
          </cell>
          <cell r="AC24">
            <v>-2000</v>
          </cell>
          <cell r="AD24">
            <v>-2000</v>
          </cell>
        </row>
        <row r="26">
          <cell r="D26">
            <v>-273</v>
          </cell>
          <cell r="F26">
            <v>-634.16</v>
          </cell>
          <cell r="H26">
            <v>-483.56</v>
          </cell>
          <cell r="V26">
            <v>-1000</v>
          </cell>
          <cell r="W26">
            <v>-1100</v>
          </cell>
          <cell r="X26">
            <v>-1210</v>
          </cell>
          <cell r="Y26">
            <v>-1331</v>
          </cell>
          <cell r="Z26">
            <v>-1464.1000000000001</v>
          </cell>
          <cell r="AA26">
            <v>-1610.5100000000002</v>
          </cell>
          <cell r="AB26">
            <v>-1771.5610000000004</v>
          </cell>
          <cell r="AC26">
            <v>-1948.7171000000005</v>
          </cell>
          <cell r="AD26">
            <v>-2143.5888100000006</v>
          </cell>
        </row>
        <row r="27">
          <cell r="D27">
            <v>0</v>
          </cell>
          <cell r="F27">
            <v>-143042.4</v>
          </cell>
          <cell r="H27">
            <v>-14722.66</v>
          </cell>
          <cell r="V27">
            <v>-15458.793</v>
          </cell>
          <cell r="W27">
            <v>-16231.73265</v>
          </cell>
          <cell r="X27">
            <v>-17043.319282500001</v>
          </cell>
          <cell r="Y27">
            <v>-17895.485246625001</v>
          </cell>
          <cell r="Z27">
            <v>-18790.259508956253</v>
          </cell>
          <cell r="AA27">
            <v>-19729.772484404068</v>
          </cell>
          <cell r="AB27">
            <v>-20716.261108624272</v>
          </cell>
          <cell r="AC27">
            <v>-21752.074164055488</v>
          </cell>
          <cell r="AD27">
            <v>-22839.677872258264</v>
          </cell>
        </row>
        <row r="28">
          <cell r="D28">
            <v>-155.5</v>
          </cell>
          <cell r="F28">
            <v>-186.58</v>
          </cell>
          <cell r="H28">
            <v>-153</v>
          </cell>
          <cell r="V28">
            <v>-200</v>
          </cell>
          <cell r="W28">
            <v>-200</v>
          </cell>
          <cell r="X28">
            <v>-200</v>
          </cell>
          <cell r="Y28">
            <v>-200</v>
          </cell>
          <cell r="Z28">
            <v>-200</v>
          </cell>
          <cell r="AA28">
            <v>-200</v>
          </cell>
          <cell r="AB28">
            <v>-200</v>
          </cell>
          <cell r="AC28">
            <v>-200</v>
          </cell>
          <cell r="AD28">
            <v>-200</v>
          </cell>
        </row>
        <row r="29">
          <cell r="D29">
            <v>-154.56</v>
          </cell>
          <cell r="F29">
            <v>-966.17</v>
          </cell>
          <cell r="H29">
            <v>-1064.75</v>
          </cell>
          <cell r="V29">
            <v>-1117.9875</v>
          </cell>
          <cell r="W29">
            <v>-1173.8868749999999</v>
          </cell>
          <cell r="X29">
            <v>-1232.5812187500001</v>
          </cell>
          <cell r="Y29">
            <v>-1294.2102796875001</v>
          </cell>
          <cell r="Z29">
            <v>-1358.9207936718751</v>
          </cell>
          <cell r="AA29">
            <v>-1426.866833355469</v>
          </cell>
          <cell r="AB29">
            <v>-1498.2101750232425</v>
          </cell>
          <cell r="AC29">
            <v>-1573.1206837744048</v>
          </cell>
          <cell r="AD29">
            <v>-1651.7767179631251</v>
          </cell>
        </row>
        <row r="33">
          <cell r="D33">
            <v>-20477</v>
          </cell>
          <cell r="F33">
            <v>-54378.720000000001</v>
          </cell>
          <cell r="H33">
            <v>-65853.88</v>
          </cell>
          <cell r="V33">
            <v>-72439.268000000011</v>
          </cell>
          <cell r="W33">
            <v>-72439.268000000011</v>
          </cell>
          <cell r="X33">
            <v>-72439.268000000011</v>
          </cell>
          <cell r="Y33">
            <v>-72439.268000000011</v>
          </cell>
          <cell r="Z33">
            <v>-72439.268000000011</v>
          </cell>
          <cell r="AA33">
            <v>-72439.268000000011</v>
          </cell>
          <cell r="AB33">
            <v>-72439.268000000011</v>
          </cell>
          <cell r="AC33">
            <v>-72439.268000000011</v>
          </cell>
          <cell r="AD33">
            <v>-72439.268000000011</v>
          </cell>
        </row>
        <row r="34">
          <cell r="D34">
            <v>-1826.73</v>
          </cell>
          <cell r="F34">
            <v>-1319.96</v>
          </cell>
          <cell r="V34">
            <v>-35000</v>
          </cell>
          <cell r="W34">
            <v>-500</v>
          </cell>
          <cell r="X34">
            <v>-500</v>
          </cell>
          <cell r="Y34">
            <v>-500</v>
          </cell>
          <cell r="Z34">
            <v>-500</v>
          </cell>
          <cell r="AA34">
            <v>-500</v>
          </cell>
          <cell r="AB34">
            <v>-500</v>
          </cell>
          <cell r="AC34">
            <v>-500</v>
          </cell>
          <cell r="AD34">
            <v>-500</v>
          </cell>
        </row>
        <row r="35">
          <cell r="D35">
            <v>-268</v>
          </cell>
          <cell r="F35">
            <v>-118941.58</v>
          </cell>
          <cell r="H35">
            <v>-267865.92</v>
          </cell>
          <cell r="V35">
            <v>-92865.919999999984</v>
          </cell>
          <cell r="W35">
            <v>-92865.919999999984</v>
          </cell>
          <cell r="X35">
            <v>-92865.919999999984</v>
          </cell>
          <cell r="Y35">
            <v>-92865.919999999984</v>
          </cell>
          <cell r="Z35">
            <v>-92865.919999999984</v>
          </cell>
          <cell r="AA35">
            <v>-92865.919999999984</v>
          </cell>
          <cell r="AB35">
            <v>-92865.919999999984</v>
          </cell>
          <cell r="AC35">
            <v>-92865.919999999984</v>
          </cell>
          <cell r="AD35">
            <v>-92865.919999999984</v>
          </cell>
        </row>
        <row r="39">
          <cell r="D39">
            <v>-41497.360000000001</v>
          </cell>
          <cell r="F39">
            <v>-223932.73</v>
          </cell>
          <cell r="H39">
            <v>-67883.87</v>
          </cell>
          <cell r="V39">
            <v>-67883.87</v>
          </cell>
          <cell r="W39">
            <v>-267883.87</v>
          </cell>
          <cell r="X39">
            <v>-267883.87</v>
          </cell>
          <cell r="Y39">
            <v>-267883.87</v>
          </cell>
          <cell r="Z39">
            <v>-267883.87</v>
          </cell>
          <cell r="AA39">
            <v>-267883.87</v>
          </cell>
          <cell r="AB39">
            <v>-267883.87</v>
          </cell>
          <cell r="AC39">
            <v>-267883.87</v>
          </cell>
          <cell r="AD39">
            <v>-267883.87</v>
          </cell>
        </row>
        <row r="42">
          <cell r="V42">
            <v>-40034.999999999993</v>
          </cell>
          <cell r="W42">
            <v>-91764.007936507944</v>
          </cell>
          <cell r="X42">
            <v>-67024.047619047633</v>
          </cell>
          <cell r="Y42">
            <v>-39735.952380952425</v>
          </cell>
          <cell r="Z42">
            <v>-12447.85714285719</v>
          </cell>
          <cell r="AA42">
            <v>14852.698412698366</v>
          </cell>
          <cell r="AB42">
            <v>42128.333333333285</v>
          </cell>
          <cell r="AC42">
            <v>69416.428571428492</v>
          </cell>
          <cell r="AD42">
            <v>36701.865079365045</v>
          </cell>
        </row>
        <row r="71">
          <cell r="V71">
            <v>0</v>
          </cell>
          <cell r="W71">
            <v>-250000</v>
          </cell>
          <cell r="X71">
            <v>-428571.4285714287</v>
          </cell>
          <cell r="Y71">
            <v>-428571.4285714287</v>
          </cell>
          <cell r="Z71">
            <v>-428571.4285714287</v>
          </cell>
          <cell r="AA71">
            <v>-428571.4285714287</v>
          </cell>
          <cell r="AB71">
            <v>-428571.4285714287</v>
          </cell>
          <cell r="AC71">
            <v>-428571.4285714287</v>
          </cell>
          <cell r="AD71">
            <v>-178571.42857142858</v>
          </cell>
        </row>
      </sheetData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7"/>
  </sheetPr>
  <dimension ref="A1:X104"/>
  <sheetViews>
    <sheetView topLeftCell="A79" zoomScale="85" zoomScaleNormal="85" workbookViewId="0">
      <selection activeCell="K16" sqref="K16"/>
    </sheetView>
  </sheetViews>
  <sheetFormatPr defaultRowHeight="12.75"/>
  <cols>
    <col min="1" max="1" width="4.28515625" style="1" customWidth="1"/>
    <col min="2" max="2" width="56.42578125" style="2" hidden="1" customWidth="1"/>
    <col min="3" max="3" width="38" style="2" customWidth="1"/>
    <col min="4" max="6" width="12.5703125" style="6" hidden="1" customWidth="1"/>
    <col min="7" max="7" width="11.5703125" style="205" hidden="1" customWidth="1"/>
    <col min="8" max="8" width="11.5703125" style="3" bestFit="1" customWidth="1"/>
    <col min="9" max="9" width="12.5703125" style="3" bestFit="1" customWidth="1"/>
    <col min="10" max="10" width="14.28515625" style="3" bestFit="1" customWidth="1"/>
    <col min="11" max="18" width="12.5703125" style="3" bestFit="1" customWidth="1"/>
    <col min="19" max="19" width="11.5703125" style="3" customWidth="1"/>
    <col min="20" max="24" width="11.5703125" style="3" hidden="1" customWidth="1"/>
    <col min="25" max="234" width="9.140625" style="3"/>
    <col min="235" max="235" width="4.28515625" style="3" customWidth="1"/>
    <col min="236" max="236" width="0" style="3" hidden="1" customWidth="1"/>
    <col min="237" max="237" width="48" style="3" customWidth="1"/>
    <col min="238" max="241" width="0" style="3" hidden="1" customWidth="1"/>
    <col min="242" max="242" width="9" style="3" customWidth="1"/>
    <col min="243" max="243" width="10.85546875" style="3" customWidth="1"/>
    <col min="244" max="244" width="10.42578125" style="3" customWidth="1"/>
    <col min="245" max="245" width="10.7109375" style="3" customWidth="1"/>
    <col min="246" max="249" width="10.5703125" style="3" bestFit="1" customWidth="1"/>
    <col min="250" max="250" width="11.28515625" style="3" customWidth="1"/>
    <col min="251" max="251" width="10.5703125" style="3" bestFit="1" customWidth="1"/>
    <col min="252" max="254" width="11.5703125" style="3" bestFit="1" customWidth="1"/>
    <col min="255" max="257" width="10.5703125" style="3" bestFit="1" customWidth="1"/>
    <col min="258" max="258" width="13.7109375" style="3" bestFit="1" customWidth="1"/>
    <col min="259" max="259" width="15.28515625" style="3" bestFit="1" customWidth="1"/>
    <col min="260" max="260" width="10.5703125" style="3" bestFit="1" customWidth="1"/>
    <col min="261" max="261" width="14.42578125" style="3" customWidth="1"/>
    <col min="262" max="262" width="12.5703125" style="3" bestFit="1" customWidth="1"/>
    <col min="263" max="263" width="14.28515625" style="3" bestFit="1" customWidth="1"/>
    <col min="264" max="266" width="12.5703125" style="3" bestFit="1" customWidth="1"/>
    <col min="267" max="275" width="0" style="3" hidden="1" customWidth="1"/>
    <col min="276" max="276" width="10.5703125" style="3" bestFit="1" customWidth="1"/>
    <col min="277" max="490" width="9.140625" style="3"/>
    <col min="491" max="491" width="4.28515625" style="3" customWidth="1"/>
    <col min="492" max="492" width="0" style="3" hidden="1" customWidth="1"/>
    <col min="493" max="493" width="48" style="3" customWidth="1"/>
    <col min="494" max="497" width="0" style="3" hidden="1" customWidth="1"/>
    <col min="498" max="498" width="9" style="3" customWidth="1"/>
    <col min="499" max="499" width="10.85546875" style="3" customWidth="1"/>
    <col min="500" max="500" width="10.42578125" style="3" customWidth="1"/>
    <col min="501" max="501" width="10.7109375" style="3" customWidth="1"/>
    <col min="502" max="505" width="10.5703125" style="3" bestFit="1" customWidth="1"/>
    <col min="506" max="506" width="11.28515625" style="3" customWidth="1"/>
    <col min="507" max="507" width="10.5703125" style="3" bestFit="1" customWidth="1"/>
    <col min="508" max="510" width="11.5703125" style="3" bestFit="1" customWidth="1"/>
    <col min="511" max="513" width="10.5703125" style="3" bestFit="1" customWidth="1"/>
    <col min="514" max="514" width="13.7109375" style="3" bestFit="1" customWidth="1"/>
    <col min="515" max="515" width="15.28515625" style="3" bestFit="1" customWidth="1"/>
    <col min="516" max="516" width="10.5703125" style="3" bestFit="1" customWidth="1"/>
    <col min="517" max="517" width="14.42578125" style="3" customWidth="1"/>
    <col min="518" max="518" width="12.5703125" style="3" bestFit="1" customWidth="1"/>
    <col min="519" max="519" width="14.28515625" style="3" bestFit="1" customWidth="1"/>
    <col min="520" max="522" width="12.5703125" style="3" bestFit="1" customWidth="1"/>
    <col min="523" max="531" width="0" style="3" hidden="1" customWidth="1"/>
    <col min="532" max="532" width="10.5703125" style="3" bestFit="1" customWidth="1"/>
    <col min="533" max="746" width="9.140625" style="3"/>
    <col min="747" max="747" width="4.28515625" style="3" customWidth="1"/>
    <col min="748" max="748" width="0" style="3" hidden="1" customWidth="1"/>
    <col min="749" max="749" width="48" style="3" customWidth="1"/>
    <col min="750" max="753" width="0" style="3" hidden="1" customWidth="1"/>
    <col min="754" max="754" width="9" style="3" customWidth="1"/>
    <col min="755" max="755" width="10.85546875" style="3" customWidth="1"/>
    <col min="756" max="756" width="10.42578125" style="3" customWidth="1"/>
    <col min="757" max="757" width="10.7109375" style="3" customWidth="1"/>
    <col min="758" max="761" width="10.5703125" style="3" bestFit="1" customWidth="1"/>
    <col min="762" max="762" width="11.28515625" style="3" customWidth="1"/>
    <col min="763" max="763" width="10.5703125" style="3" bestFit="1" customWidth="1"/>
    <col min="764" max="766" width="11.5703125" style="3" bestFit="1" customWidth="1"/>
    <col min="767" max="769" width="10.5703125" style="3" bestFit="1" customWidth="1"/>
    <col min="770" max="770" width="13.7109375" style="3" bestFit="1" customWidth="1"/>
    <col min="771" max="771" width="15.28515625" style="3" bestFit="1" customWidth="1"/>
    <col min="772" max="772" width="10.5703125" style="3" bestFit="1" customWidth="1"/>
    <col min="773" max="773" width="14.42578125" style="3" customWidth="1"/>
    <col min="774" max="774" width="12.5703125" style="3" bestFit="1" customWidth="1"/>
    <col min="775" max="775" width="14.28515625" style="3" bestFit="1" customWidth="1"/>
    <col min="776" max="778" width="12.5703125" style="3" bestFit="1" customWidth="1"/>
    <col min="779" max="787" width="0" style="3" hidden="1" customWidth="1"/>
    <col min="788" max="788" width="10.5703125" style="3" bestFit="1" customWidth="1"/>
    <col min="789" max="1002" width="9.140625" style="3"/>
    <col min="1003" max="1003" width="4.28515625" style="3" customWidth="1"/>
    <col min="1004" max="1004" width="0" style="3" hidden="1" customWidth="1"/>
    <col min="1005" max="1005" width="48" style="3" customWidth="1"/>
    <col min="1006" max="1009" width="0" style="3" hidden="1" customWidth="1"/>
    <col min="1010" max="1010" width="9" style="3" customWidth="1"/>
    <col min="1011" max="1011" width="10.85546875" style="3" customWidth="1"/>
    <col min="1012" max="1012" width="10.42578125" style="3" customWidth="1"/>
    <col min="1013" max="1013" width="10.7109375" style="3" customWidth="1"/>
    <col min="1014" max="1017" width="10.5703125" style="3" bestFit="1" customWidth="1"/>
    <col min="1018" max="1018" width="11.28515625" style="3" customWidth="1"/>
    <col min="1019" max="1019" width="10.5703125" style="3" bestFit="1" customWidth="1"/>
    <col min="1020" max="1022" width="11.5703125" style="3" bestFit="1" customWidth="1"/>
    <col min="1023" max="1025" width="10.5703125" style="3" bestFit="1" customWidth="1"/>
    <col min="1026" max="1026" width="13.7109375" style="3" bestFit="1" customWidth="1"/>
    <col min="1027" max="1027" width="15.28515625" style="3" bestFit="1" customWidth="1"/>
    <col min="1028" max="1028" width="10.5703125" style="3" bestFit="1" customWidth="1"/>
    <col min="1029" max="1029" width="14.42578125" style="3" customWidth="1"/>
    <col min="1030" max="1030" width="12.5703125" style="3" bestFit="1" customWidth="1"/>
    <col min="1031" max="1031" width="14.28515625" style="3" bestFit="1" customWidth="1"/>
    <col min="1032" max="1034" width="12.5703125" style="3" bestFit="1" customWidth="1"/>
    <col min="1035" max="1043" width="0" style="3" hidden="1" customWidth="1"/>
    <col min="1044" max="1044" width="10.5703125" style="3" bestFit="1" customWidth="1"/>
    <col min="1045" max="1258" width="9.140625" style="3"/>
    <col min="1259" max="1259" width="4.28515625" style="3" customWidth="1"/>
    <col min="1260" max="1260" width="0" style="3" hidden="1" customWidth="1"/>
    <col min="1261" max="1261" width="48" style="3" customWidth="1"/>
    <col min="1262" max="1265" width="0" style="3" hidden="1" customWidth="1"/>
    <col min="1266" max="1266" width="9" style="3" customWidth="1"/>
    <col min="1267" max="1267" width="10.85546875" style="3" customWidth="1"/>
    <col min="1268" max="1268" width="10.42578125" style="3" customWidth="1"/>
    <col min="1269" max="1269" width="10.7109375" style="3" customWidth="1"/>
    <col min="1270" max="1273" width="10.5703125" style="3" bestFit="1" customWidth="1"/>
    <col min="1274" max="1274" width="11.28515625" style="3" customWidth="1"/>
    <col min="1275" max="1275" width="10.5703125" style="3" bestFit="1" customWidth="1"/>
    <col min="1276" max="1278" width="11.5703125" style="3" bestFit="1" customWidth="1"/>
    <col min="1279" max="1281" width="10.5703125" style="3" bestFit="1" customWidth="1"/>
    <col min="1282" max="1282" width="13.7109375" style="3" bestFit="1" customWidth="1"/>
    <col min="1283" max="1283" width="15.28515625" style="3" bestFit="1" customWidth="1"/>
    <col min="1284" max="1284" width="10.5703125" style="3" bestFit="1" customWidth="1"/>
    <col min="1285" max="1285" width="14.42578125" style="3" customWidth="1"/>
    <col min="1286" max="1286" width="12.5703125" style="3" bestFit="1" customWidth="1"/>
    <col min="1287" max="1287" width="14.28515625" style="3" bestFit="1" customWidth="1"/>
    <col min="1288" max="1290" width="12.5703125" style="3" bestFit="1" customWidth="1"/>
    <col min="1291" max="1299" width="0" style="3" hidden="1" customWidth="1"/>
    <col min="1300" max="1300" width="10.5703125" style="3" bestFit="1" customWidth="1"/>
    <col min="1301" max="1514" width="9.140625" style="3"/>
    <col min="1515" max="1515" width="4.28515625" style="3" customWidth="1"/>
    <col min="1516" max="1516" width="0" style="3" hidden="1" customWidth="1"/>
    <col min="1517" max="1517" width="48" style="3" customWidth="1"/>
    <col min="1518" max="1521" width="0" style="3" hidden="1" customWidth="1"/>
    <col min="1522" max="1522" width="9" style="3" customWidth="1"/>
    <col min="1523" max="1523" width="10.85546875" style="3" customWidth="1"/>
    <col min="1524" max="1524" width="10.42578125" style="3" customWidth="1"/>
    <col min="1525" max="1525" width="10.7109375" style="3" customWidth="1"/>
    <col min="1526" max="1529" width="10.5703125" style="3" bestFit="1" customWidth="1"/>
    <col min="1530" max="1530" width="11.28515625" style="3" customWidth="1"/>
    <col min="1531" max="1531" width="10.5703125" style="3" bestFit="1" customWidth="1"/>
    <col min="1532" max="1534" width="11.5703125" style="3" bestFit="1" customWidth="1"/>
    <col min="1535" max="1537" width="10.5703125" style="3" bestFit="1" customWidth="1"/>
    <col min="1538" max="1538" width="13.7109375" style="3" bestFit="1" customWidth="1"/>
    <col min="1539" max="1539" width="15.28515625" style="3" bestFit="1" customWidth="1"/>
    <col min="1540" max="1540" width="10.5703125" style="3" bestFit="1" customWidth="1"/>
    <col min="1541" max="1541" width="14.42578125" style="3" customWidth="1"/>
    <col min="1542" max="1542" width="12.5703125" style="3" bestFit="1" customWidth="1"/>
    <col min="1543" max="1543" width="14.28515625" style="3" bestFit="1" customWidth="1"/>
    <col min="1544" max="1546" width="12.5703125" style="3" bestFit="1" customWidth="1"/>
    <col min="1547" max="1555" width="0" style="3" hidden="1" customWidth="1"/>
    <col min="1556" max="1556" width="10.5703125" style="3" bestFit="1" customWidth="1"/>
    <col min="1557" max="1770" width="9.140625" style="3"/>
    <col min="1771" max="1771" width="4.28515625" style="3" customWidth="1"/>
    <col min="1772" max="1772" width="0" style="3" hidden="1" customWidth="1"/>
    <col min="1773" max="1773" width="48" style="3" customWidth="1"/>
    <col min="1774" max="1777" width="0" style="3" hidden="1" customWidth="1"/>
    <col min="1778" max="1778" width="9" style="3" customWidth="1"/>
    <col min="1779" max="1779" width="10.85546875" style="3" customWidth="1"/>
    <col min="1780" max="1780" width="10.42578125" style="3" customWidth="1"/>
    <col min="1781" max="1781" width="10.7109375" style="3" customWidth="1"/>
    <col min="1782" max="1785" width="10.5703125" style="3" bestFit="1" customWidth="1"/>
    <col min="1786" max="1786" width="11.28515625" style="3" customWidth="1"/>
    <col min="1787" max="1787" width="10.5703125" style="3" bestFit="1" customWidth="1"/>
    <col min="1788" max="1790" width="11.5703125" style="3" bestFit="1" customWidth="1"/>
    <col min="1791" max="1793" width="10.5703125" style="3" bestFit="1" customWidth="1"/>
    <col min="1794" max="1794" width="13.7109375" style="3" bestFit="1" customWidth="1"/>
    <col min="1795" max="1795" width="15.28515625" style="3" bestFit="1" customWidth="1"/>
    <col min="1796" max="1796" width="10.5703125" style="3" bestFit="1" customWidth="1"/>
    <col min="1797" max="1797" width="14.42578125" style="3" customWidth="1"/>
    <col min="1798" max="1798" width="12.5703125" style="3" bestFit="1" customWidth="1"/>
    <col min="1799" max="1799" width="14.28515625" style="3" bestFit="1" customWidth="1"/>
    <col min="1800" max="1802" width="12.5703125" style="3" bestFit="1" customWidth="1"/>
    <col min="1803" max="1811" width="0" style="3" hidden="1" customWidth="1"/>
    <col min="1812" max="1812" width="10.5703125" style="3" bestFit="1" customWidth="1"/>
    <col min="1813" max="2026" width="9.140625" style="3"/>
    <col min="2027" max="2027" width="4.28515625" style="3" customWidth="1"/>
    <col min="2028" max="2028" width="0" style="3" hidden="1" customWidth="1"/>
    <col min="2029" max="2029" width="48" style="3" customWidth="1"/>
    <col min="2030" max="2033" width="0" style="3" hidden="1" customWidth="1"/>
    <col min="2034" max="2034" width="9" style="3" customWidth="1"/>
    <col min="2035" max="2035" width="10.85546875" style="3" customWidth="1"/>
    <col min="2036" max="2036" width="10.42578125" style="3" customWidth="1"/>
    <col min="2037" max="2037" width="10.7109375" style="3" customWidth="1"/>
    <col min="2038" max="2041" width="10.5703125" style="3" bestFit="1" customWidth="1"/>
    <col min="2042" max="2042" width="11.28515625" style="3" customWidth="1"/>
    <col min="2043" max="2043" width="10.5703125" style="3" bestFit="1" customWidth="1"/>
    <col min="2044" max="2046" width="11.5703125" style="3" bestFit="1" customWidth="1"/>
    <col min="2047" max="2049" width="10.5703125" style="3" bestFit="1" customWidth="1"/>
    <col min="2050" max="2050" width="13.7109375" style="3" bestFit="1" customWidth="1"/>
    <col min="2051" max="2051" width="15.28515625" style="3" bestFit="1" customWidth="1"/>
    <col min="2052" max="2052" width="10.5703125" style="3" bestFit="1" customWidth="1"/>
    <col min="2053" max="2053" width="14.42578125" style="3" customWidth="1"/>
    <col min="2054" max="2054" width="12.5703125" style="3" bestFit="1" customWidth="1"/>
    <col min="2055" max="2055" width="14.28515625" style="3" bestFit="1" customWidth="1"/>
    <col min="2056" max="2058" width="12.5703125" style="3" bestFit="1" customWidth="1"/>
    <col min="2059" max="2067" width="0" style="3" hidden="1" customWidth="1"/>
    <col min="2068" max="2068" width="10.5703125" style="3" bestFit="1" customWidth="1"/>
    <col min="2069" max="2282" width="9.140625" style="3"/>
    <col min="2283" max="2283" width="4.28515625" style="3" customWidth="1"/>
    <col min="2284" max="2284" width="0" style="3" hidden="1" customWidth="1"/>
    <col min="2285" max="2285" width="48" style="3" customWidth="1"/>
    <col min="2286" max="2289" width="0" style="3" hidden="1" customWidth="1"/>
    <col min="2290" max="2290" width="9" style="3" customWidth="1"/>
    <col min="2291" max="2291" width="10.85546875" style="3" customWidth="1"/>
    <col min="2292" max="2292" width="10.42578125" style="3" customWidth="1"/>
    <col min="2293" max="2293" width="10.7109375" style="3" customWidth="1"/>
    <col min="2294" max="2297" width="10.5703125" style="3" bestFit="1" customWidth="1"/>
    <col min="2298" max="2298" width="11.28515625" style="3" customWidth="1"/>
    <col min="2299" max="2299" width="10.5703125" style="3" bestFit="1" customWidth="1"/>
    <col min="2300" max="2302" width="11.5703125" style="3" bestFit="1" customWidth="1"/>
    <col min="2303" max="2305" width="10.5703125" style="3" bestFit="1" customWidth="1"/>
    <col min="2306" max="2306" width="13.7109375" style="3" bestFit="1" customWidth="1"/>
    <col min="2307" max="2307" width="15.28515625" style="3" bestFit="1" customWidth="1"/>
    <col min="2308" max="2308" width="10.5703125" style="3" bestFit="1" customWidth="1"/>
    <col min="2309" max="2309" width="14.42578125" style="3" customWidth="1"/>
    <col min="2310" max="2310" width="12.5703125" style="3" bestFit="1" customWidth="1"/>
    <col min="2311" max="2311" width="14.28515625" style="3" bestFit="1" customWidth="1"/>
    <col min="2312" max="2314" width="12.5703125" style="3" bestFit="1" customWidth="1"/>
    <col min="2315" max="2323" width="0" style="3" hidden="1" customWidth="1"/>
    <col min="2324" max="2324" width="10.5703125" style="3" bestFit="1" customWidth="1"/>
    <col min="2325" max="2538" width="9.140625" style="3"/>
    <col min="2539" max="2539" width="4.28515625" style="3" customWidth="1"/>
    <col min="2540" max="2540" width="0" style="3" hidden="1" customWidth="1"/>
    <col min="2541" max="2541" width="48" style="3" customWidth="1"/>
    <col min="2542" max="2545" width="0" style="3" hidden="1" customWidth="1"/>
    <col min="2546" max="2546" width="9" style="3" customWidth="1"/>
    <col min="2547" max="2547" width="10.85546875" style="3" customWidth="1"/>
    <col min="2548" max="2548" width="10.42578125" style="3" customWidth="1"/>
    <col min="2549" max="2549" width="10.7109375" style="3" customWidth="1"/>
    <col min="2550" max="2553" width="10.5703125" style="3" bestFit="1" customWidth="1"/>
    <col min="2554" max="2554" width="11.28515625" style="3" customWidth="1"/>
    <col min="2555" max="2555" width="10.5703125" style="3" bestFit="1" customWidth="1"/>
    <col min="2556" max="2558" width="11.5703125" style="3" bestFit="1" customWidth="1"/>
    <col min="2559" max="2561" width="10.5703125" style="3" bestFit="1" customWidth="1"/>
    <col min="2562" max="2562" width="13.7109375" style="3" bestFit="1" customWidth="1"/>
    <col min="2563" max="2563" width="15.28515625" style="3" bestFit="1" customWidth="1"/>
    <col min="2564" max="2564" width="10.5703125" style="3" bestFit="1" customWidth="1"/>
    <col min="2565" max="2565" width="14.42578125" style="3" customWidth="1"/>
    <col min="2566" max="2566" width="12.5703125" style="3" bestFit="1" customWidth="1"/>
    <col min="2567" max="2567" width="14.28515625" style="3" bestFit="1" customWidth="1"/>
    <col min="2568" max="2570" width="12.5703125" style="3" bestFit="1" customWidth="1"/>
    <col min="2571" max="2579" width="0" style="3" hidden="1" customWidth="1"/>
    <col min="2580" max="2580" width="10.5703125" style="3" bestFit="1" customWidth="1"/>
    <col min="2581" max="2794" width="9.140625" style="3"/>
    <col min="2795" max="2795" width="4.28515625" style="3" customWidth="1"/>
    <col min="2796" max="2796" width="0" style="3" hidden="1" customWidth="1"/>
    <col min="2797" max="2797" width="48" style="3" customWidth="1"/>
    <col min="2798" max="2801" width="0" style="3" hidden="1" customWidth="1"/>
    <col min="2802" max="2802" width="9" style="3" customWidth="1"/>
    <col min="2803" max="2803" width="10.85546875" style="3" customWidth="1"/>
    <col min="2804" max="2804" width="10.42578125" style="3" customWidth="1"/>
    <col min="2805" max="2805" width="10.7109375" style="3" customWidth="1"/>
    <col min="2806" max="2809" width="10.5703125" style="3" bestFit="1" customWidth="1"/>
    <col min="2810" max="2810" width="11.28515625" style="3" customWidth="1"/>
    <col min="2811" max="2811" width="10.5703125" style="3" bestFit="1" customWidth="1"/>
    <col min="2812" max="2814" width="11.5703125" style="3" bestFit="1" customWidth="1"/>
    <col min="2815" max="2817" width="10.5703125" style="3" bestFit="1" customWidth="1"/>
    <col min="2818" max="2818" width="13.7109375" style="3" bestFit="1" customWidth="1"/>
    <col min="2819" max="2819" width="15.28515625" style="3" bestFit="1" customWidth="1"/>
    <col min="2820" max="2820" width="10.5703125" style="3" bestFit="1" customWidth="1"/>
    <col min="2821" max="2821" width="14.42578125" style="3" customWidth="1"/>
    <col min="2822" max="2822" width="12.5703125" style="3" bestFit="1" customWidth="1"/>
    <col min="2823" max="2823" width="14.28515625" style="3" bestFit="1" customWidth="1"/>
    <col min="2824" max="2826" width="12.5703125" style="3" bestFit="1" customWidth="1"/>
    <col min="2827" max="2835" width="0" style="3" hidden="1" customWidth="1"/>
    <col min="2836" max="2836" width="10.5703125" style="3" bestFit="1" customWidth="1"/>
    <col min="2837" max="3050" width="9.140625" style="3"/>
    <col min="3051" max="3051" width="4.28515625" style="3" customWidth="1"/>
    <col min="3052" max="3052" width="0" style="3" hidden="1" customWidth="1"/>
    <col min="3053" max="3053" width="48" style="3" customWidth="1"/>
    <col min="3054" max="3057" width="0" style="3" hidden="1" customWidth="1"/>
    <col min="3058" max="3058" width="9" style="3" customWidth="1"/>
    <col min="3059" max="3059" width="10.85546875" style="3" customWidth="1"/>
    <col min="3060" max="3060" width="10.42578125" style="3" customWidth="1"/>
    <col min="3061" max="3061" width="10.7109375" style="3" customWidth="1"/>
    <col min="3062" max="3065" width="10.5703125" style="3" bestFit="1" customWidth="1"/>
    <col min="3066" max="3066" width="11.28515625" style="3" customWidth="1"/>
    <col min="3067" max="3067" width="10.5703125" style="3" bestFit="1" customWidth="1"/>
    <col min="3068" max="3070" width="11.5703125" style="3" bestFit="1" customWidth="1"/>
    <col min="3071" max="3073" width="10.5703125" style="3" bestFit="1" customWidth="1"/>
    <col min="3074" max="3074" width="13.7109375" style="3" bestFit="1" customWidth="1"/>
    <col min="3075" max="3075" width="15.28515625" style="3" bestFit="1" customWidth="1"/>
    <col min="3076" max="3076" width="10.5703125" style="3" bestFit="1" customWidth="1"/>
    <col min="3077" max="3077" width="14.42578125" style="3" customWidth="1"/>
    <col min="3078" max="3078" width="12.5703125" style="3" bestFit="1" customWidth="1"/>
    <col min="3079" max="3079" width="14.28515625" style="3" bestFit="1" customWidth="1"/>
    <col min="3080" max="3082" width="12.5703125" style="3" bestFit="1" customWidth="1"/>
    <col min="3083" max="3091" width="0" style="3" hidden="1" customWidth="1"/>
    <col min="3092" max="3092" width="10.5703125" style="3" bestFit="1" customWidth="1"/>
    <col min="3093" max="3306" width="9.140625" style="3"/>
    <col min="3307" max="3307" width="4.28515625" style="3" customWidth="1"/>
    <col min="3308" max="3308" width="0" style="3" hidden="1" customWidth="1"/>
    <col min="3309" max="3309" width="48" style="3" customWidth="1"/>
    <col min="3310" max="3313" width="0" style="3" hidden="1" customWidth="1"/>
    <col min="3314" max="3314" width="9" style="3" customWidth="1"/>
    <col min="3315" max="3315" width="10.85546875" style="3" customWidth="1"/>
    <col min="3316" max="3316" width="10.42578125" style="3" customWidth="1"/>
    <col min="3317" max="3317" width="10.7109375" style="3" customWidth="1"/>
    <col min="3318" max="3321" width="10.5703125" style="3" bestFit="1" customWidth="1"/>
    <col min="3322" max="3322" width="11.28515625" style="3" customWidth="1"/>
    <col min="3323" max="3323" width="10.5703125" style="3" bestFit="1" customWidth="1"/>
    <col min="3324" max="3326" width="11.5703125" style="3" bestFit="1" customWidth="1"/>
    <col min="3327" max="3329" width="10.5703125" style="3" bestFit="1" customWidth="1"/>
    <col min="3330" max="3330" width="13.7109375" style="3" bestFit="1" customWidth="1"/>
    <col min="3331" max="3331" width="15.28515625" style="3" bestFit="1" customWidth="1"/>
    <col min="3332" max="3332" width="10.5703125" style="3" bestFit="1" customWidth="1"/>
    <col min="3333" max="3333" width="14.42578125" style="3" customWidth="1"/>
    <col min="3334" max="3334" width="12.5703125" style="3" bestFit="1" customWidth="1"/>
    <col min="3335" max="3335" width="14.28515625" style="3" bestFit="1" customWidth="1"/>
    <col min="3336" max="3338" width="12.5703125" style="3" bestFit="1" customWidth="1"/>
    <col min="3339" max="3347" width="0" style="3" hidden="1" customWidth="1"/>
    <col min="3348" max="3348" width="10.5703125" style="3" bestFit="1" customWidth="1"/>
    <col min="3349" max="3562" width="9.140625" style="3"/>
    <col min="3563" max="3563" width="4.28515625" style="3" customWidth="1"/>
    <col min="3564" max="3564" width="0" style="3" hidden="1" customWidth="1"/>
    <col min="3565" max="3565" width="48" style="3" customWidth="1"/>
    <col min="3566" max="3569" width="0" style="3" hidden="1" customWidth="1"/>
    <col min="3570" max="3570" width="9" style="3" customWidth="1"/>
    <col min="3571" max="3571" width="10.85546875" style="3" customWidth="1"/>
    <col min="3572" max="3572" width="10.42578125" style="3" customWidth="1"/>
    <col min="3573" max="3573" width="10.7109375" style="3" customWidth="1"/>
    <col min="3574" max="3577" width="10.5703125" style="3" bestFit="1" customWidth="1"/>
    <col min="3578" max="3578" width="11.28515625" style="3" customWidth="1"/>
    <col min="3579" max="3579" width="10.5703125" style="3" bestFit="1" customWidth="1"/>
    <col min="3580" max="3582" width="11.5703125" style="3" bestFit="1" customWidth="1"/>
    <col min="3583" max="3585" width="10.5703125" style="3" bestFit="1" customWidth="1"/>
    <col min="3586" max="3586" width="13.7109375" style="3" bestFit="1" customWidth="1"/>
    <col min="3587" max="3587" width="15.28515625" style="3" bestFit="1" customWidth="1"/>
    <col min="3588" max="3588" width="10.5703125" style="3" bestFit="1" customWidth="1"/>
    <col min="3589" max="3589" width="14.42578125" style="3" customWidth="1"/>
    <col min="3590" max="3590" width="12.5703125" style="3" bestFit="1" customWidth="1"/>
    <col min="3591" max="3591" width="14.28515625" style="3" bestFit="1" customWidth="1"/>
    <col min="3592" max="3594" width="12.5703125" style="3" bestFit="1" customWidth="1"/>
    <col min="3595" max="3603" width="0" style="3" hidden="1" customWidth="1"/>
    <col min="3604" max="3604" width="10.5703125" style="3" bestFit="1" customWidth="1"/>
    <col min="3605" max="3818" width="9.140625" style="3"/>
    <col min="3819" max="3819" width="4.28515625" style="3" customWidth="1"/>
    <col min="3820" max="3820" width="0" style="3" hidden="1" customWidth="1"/>
    <col min="3821" max="3821" width="48" style="3" customWidth="1"/>
    <col min="3822" max="3825" width="0" style="3" hidden="1" customWidth="1"/>
    <col min="3826" max="3826" width="9" style="3" customWidth="1"/>
    <col min="3827" max="3827" width="10.85546875" style="3" customWidth="1"/>
    <col min="3828" max="3828" width="10.42578125" style="3" customWidth="1"/>
    <col min="3829" max="3829" width="10.7109375" style="3" customWidth="1"/>
    <col min="3830" max="3833" width="10.5703125" style="3" bestFit="1" customWidth="1"/>
    <col min="3834" max="3834" width="11.28515625" style="3" customWidth="1"/>
    <col min="3835" max="3835" width="10.5703125" style="3" bestFit="1" customWidth="1"/>
    <col min="3836" max="3838" width="11.5703125" style="3" bestFit="1" customWidth="1"/>
    <col min="3839" max="3841" width="10.5703125" style="3" bestFit="1" customWidth="1"/>
    <col min="3842" max="3842" width="13.7109375" style="3" bestFit="1" customWidth="1"/>
    <col min="3843" max="3843" width="15.28515625" style="3" bestFit="1" customWidth="1"/>
    <col min="3844" max="3844" width="10.5703125" style="3" bestFit="1" customWidth="1"/>
    <col min="3845" max="3845" width="14.42578125" style="3" customWidth="1"/>
    <col min="3846" max="3846" width="12.5703125" style="3" bestFit="1" customWidth="1"/>
    <col min="3847" max="3847" width="14.28515625" style="3" bestFit="1" customWidth="1"/>
    <col min="3848" max="3850" width="12.5703125" style="3" bestFit="1" customWidth="1"/>
    <col min="3851" max="3859" width="0" style="3" hidden="1" customWidth="1"/>
    <col min="3860" max="3860" width="10.5703125" style="3" bestFit="1" customWidth="1"/>
    <col min="3861" max="4074" width="9.140625" style="3"/>
    <col min="4075" max="4075" width="4.28515625" style="3" customWidth="1"/>
    <col min="4076" max="4076" width="0" style="3" hidden="1" customWidth="1"/>
    <col min="4077" max="4077" width="48" style="3" customWidth="1"/>
    <col min="4078" max="4081" width="0" style="3" hidden="1" customWidth="1"/>
    <col min="4082" max="4082" width="9" style="3" customWidth="1"/>
    <col min="4083" max="4083" width="10.85546875" style="3" customWidth="1"/>
    <col min="4084" max="4084" width="10.42578125" style="3" customWidth="1"/>
    <col min="4085" max="4085" width="10.7109375" style="3" customWidth="1"/>
    <col min="4086" max="4089" width="10.5703125" style="3" bestFit="1" customWidth="1"/>
    <col min="4090" max="4090" width="11.28515625" style="3" customWidth="1"/>
    <col min="4091" max="4091" width="10.5703125" style="3" bestFit="1" customWidth="1"/>
    <col min="4092" max="4094" width="11.5703125" style="3" bestFit="1" customWidth="1"/>
    <col min="4095" max="4097" width="10.5703125" style="3" bestFit="1" customWidth="1"/>
    <col min="4098" max="4098" width="13.7109375" style="3" bestFit="1" customWidth="1"/>
    <col min="4099" max="4099" width="15.28515625" style="3" bestFit="1" customWidth="1"/>
    <col min="4100" max="4100" width="10.5703125" style="3" bestFit="1" customWidth="1"/>
    <col min="4101" max="4101" width="14.42578125" style="3" customWidth="1"/>
    <col min="4102" max="4102" width="12.5703125" style="3" bestFit="1" customWidth="1"/>
    <col min="4103" max="4103" width="14.28515625" style="3" bestFit="1" customWidth="1"/>
    <col min="4104" max="4106" width="12.5703125" style="3" bestFit="1" customWidth="1"/>
    <col min="4107" max="4115" width="0" style="3" hidden="1" customWidth="1"/>
    <col min="4116" max="4116" width="10.5703125" style="3" bestFit="1" customWidth="1"/>
    <col min="4117" max="4330" width="9.140625" style="3"/>
    <col min="4331" max="4331" width="4.28515625" style="3" customWidth="1"/>
    <col min="4332" max="4332" width="0" style="3" hidden="1" customWidth="1"/>
    <col min="4333" max="4333" width="48" style="3" customWidth="1"/>
    <col min="4334" max="4337" width="0" style="3" hidden="1" customWidth="1"/>
    <col min="4338" max="4338" width="9" style="3" customWidth="1"/>
    <col min="4339" max="4339" width="10.85546875" style="3" customWidth="1"/>
    <col min="4340" max="4340" width="10.42578125" style="3" customWidth="1"/>
    <col min="4341" max="4341" width="10.7109375" style="3" customWidth="1"/>
    <col min="4342" max="4345" width="10.5703125" style="3" bestFit="1" customWidth="1"/>
    <col min="4346" max="4346" width="11.28515625" style="3" customWidth="1"/>
    <col min="4347" max="4347" width="10.5703125" style="3" bestFit="1" customWidth="1"/>
    <col min="4348" max="4350" width="11.5703125" style="3" bestFit="1" customWidth="1"/>
    <col min="4351" max="4353" width="10.5703125" style="3" bestFit="1" customWidth="1"/>
    <col min="4354" max="4354" width="13.7109375" style="3" bestFit="1" customWidth="1"/>
    <col min="4355" max="4355" width="15.28515625" style="3" bestFit="1" customWidth="1"/>
    <col min="4356" max="4356" width="10.5703125" style="3" bestFit="1" customWidth="1"/>
    <col min="4357" max="4357" width="14.42578125" style="3" customWidth="1"/>
    <col min="4358" max="4358" width="12.5703125" style="3" bestFit="1" customWidth="1"/>
    <col min="4359" max="4359" width="14.28515625" style="3" bestFit="1" customWidth="1"/>
    <col min="4360" max="4362" width="12.5703125" style="3" bestFit="1" customWidth="1"/>
    <col min="4363" max="4371" width="0" style="3" hidden="1" customWidth="1"/>
    <col min="4372" max="4372" width="10.5703125" style="3" bestFit="1" customWidth="1"/>
    <col min="4373" max="4586" width="9.140625" style="3"/>
    <col min="4587" max="4587" width="4.28515625" style="3" customWidth="1"/>
    <col min="4588" max="4588" width="0" style="3" hidden="1" customWidth="1"/>
    <col min="4589" max="4589" width="48" style="3" customWidth="1"/>
    <col min="4590" max="4593" width="0" style="3" hidden="1" customWidth="1"/>
    <col min="4594" max="4594" width="9" style="3" customWidth="1"/>
    <col min="4595" max="4595" width="10.85546875" style="3" customWidth="1"/>
    <col min="4596" max="4596" width="10.42578125" style="3" customWidth="1"/>
    <col min="4597" max="4597" width="10.7109375" style="3" customWidth="1"/>
    <col min="4598" max="4601" width="10.5703125" style="3" bestFit="1" customWidth="1"/>
    <col min="4602" max="4602" width="11.28515625" style="3" customWidth="1"/>
    <col min="4603" max="4603" width="10.5703125" style="3" bestFit="1" customWidth="1"/>
    <col min="4604" max="4606" width="11.5703125" style="3" bestFit="1" customWidth="1"/>
    <col min="4607" max="4609" width="10.5703125" style="3" bestFit="1" customWidth="1"/>
    <col min="4610" max="4610" width="13.7109375" style="3" bestFit="1" customWidth="1"/>
    <col min="4611" max="4611" width="15.28515625" style="3" bestFit="1" customWidth="1"/>
    <col min="4612" max="4612" width="10.5703125" style="3" bestFit="1" customWidth="1"/>
    <col min="4613" max="4613" width="14.42578125" style="3" customWidth="1"/>
    <col min="4614" max="4614" width="12.5703125" style="3" bestFit="1" customWidth="1"/>
    <col min="4615" max="4615" width="14.28515625" style="3" bestFit="1" customWidth="1"/>
    <col min="4616" max="4618" width="12.5703125" style="3" bestFit="1" customWidth="1"/>
    <col min="4619" max="4627" width="0" style="3" hidden="1" customWidth="1"/>
    <col min="4628" max="4628" width="10.5703125" style="3" bestFit="1" customWidth="1"/>
    <col min="4629" max="4842" width="9.140625" style="3"/>
    <col min="4843" max="4843" width="4.28515625" style="3" customWidth="1"/>
    <col min="4844" max="4844" width="0" style="3" hidden="1" customWidth="1"/>
    <col min="4845" max="4845" width="48" style="3" customWidth="1"/>
    <col min="4846" max="4849" width="0" style="3" hidden="1" customWidth="1"/>
    <col min="4850" max="4850" width="9" style="3" customWidth="1"/>
    <col min="4851" max="4851" width="10.85546875" style="3" customWidth="1"/>
    <col min="4852" max="4852" width="10.42578125" style="3" customWidth="1"/>
    <col min="4853" max="4853" width="10.7109375" style="3" customWidth="1"/>
    <col min="4854" max="4857" width="10.5703125" style="3" bestFit="1" customWidth="1"/>
    <col min="4858" max="4858" width="11.28515625" style="3" customWidth="1"/>
    <col min="4859" max="4859" width="10.5703125" style="3" bestFit="1" customWidth="1"/>
    <col min="4860" max="4862" width="11.5703125" style="3" bestFit="1" customWidth="1"/>
    <col min="4863" max="4865" width="10.5703125" style="3" bestFit="1" customWidth="1"/>
    <col min="4866" max="4866" width="13.7109375" style="3" bestFit="1" customWidth="1"/>
    <col min="4867" max="4867" width="15.28515625" style="3" bestFit="1" customWidth="1"/>
    <col min="4868" max="4868" width="10.5703125" style="3" bestFit="1" customWidth="1"/>
    <col min="4869" max="4869" width="14.42578125" style="3" customWidth="1"/>
    <col min="4870" max="4870" width="12.5703125" style="3" bestFit="1" customWidth="1"/>
    <col min="4871" max="4871" width="14.28515625" style="3" bestFit="1" customWidth="1"/>
    <col min="4872" max="4874" width="12.5703125" style="3" bestFit="1" customWidth="1"/>
    <col min="4875" max="4883" width="0" style="3" hidden="1" customWidth="1"/>
    <col min="4884" max="4884" width="10.5703125" style="3" bestFit="1" customWidth="1"/>
    <col min="4885" max="5098" width="9.140625" style="3"/>
    <col min="5099" max="5099" width="4.28515625" style="3" customWidth="1"/>
    <col min="5100" max="5100" width="0" style="3" hidden="1" customWidth="1"/>
    <col min="5101" max="5101" width="48" style="3" customWidth="1"/>
    <col min="5102" max="5105" width="0" style="3" hidden="1" customWidth="1"/>
    <col min="5106" max="5106" width="9" style="3" customWidth="1"/>
    <col min="5107" max="5107" width="10.85546875" style="3" customWidth="1"/>
    <col min="5108" max="5108" width="10.42578125" style="3" customWidth="1"/>
    <col min="5109" max="5109" width="10.7109375" style="3" customWidth="1"/>
    <col min="5110" max="5113" width="10.5703125" style="3" bestFit="1" customWidth="1"/>
    <col min="5114" max="5114" width="11.28515625" style="3" customWidth="1"/>
    <col min="5115" max="5115" width="10.5703125" style="3" bestFit="1" customWidth="1"/>
    <col min="5116" max="5118" width="11.5703125" style="3" bestFit="1" customWidth="1"/>
    <col min="5119" max="5121" width="10.5703125" style="3" bestFit="1" customWidth="1"/>
    <col min="5122" max="5122" width="13.7109375" style="3" bestFit="1" customWidth="1"/>
    <col min="5123" max="5123" width="15.28515625" style="3" bestFit="1" customWidth="1"/>
    <col min="5124" max="5124" width="10.5703125" style="3" bestFit="1" customWidth="1"/>
    <col min="5125" max="5125" width="14.42578125" style="3" customWidth="1"/>
    <col min="5126" max="5126" width="12.5703125" style="3" bestFit="1" customWidth="1"/>
    <col min="5127" max="5127" width="14.28515625" style="3" bestFit="1" customWidth="1"/>
    <col min="5128" max="5130" width="12.5703125" style="3" bestFit="1" customWidth="1"/>
    <col min="5131" max="5139" width="0" style="3" hidden="1" customWidth="1"/>
    <col min="5140" max="5140" width="10.5703125" style="3" bestFit="1" customWidth="1"/>
    <col min="5141" max="5354" width="9.140625" style="3"/>
    <col min="5355" max="5355" width="4.28515625" style="3" customWidth="1"/>
    <col min="5356" max="5356" width="0" style="3" hidden="1" customWidth="1"/>
    <col min="5357" max="5357" width="48" style="3" customWidth="1"/>
    <col min="5358" max="5361" width="0" style="3" hidden="1" customWidth="1"/>
    <col min="5362" max="5362" width="9" style="3" customWidth="1"/>
    <col min="5363" max="5363" width="10.85546875" style="3" customWidth="1"/>
    <col min="5364" max="5364" width="10.42578125" style="3" customWidth="1"/>
    <col min="5365" max="5365" width="10.7109375" style="3" customWidth="1"/>
    <col min="5366" max="5369" width="10.5703125" style="3" bestFit="1" customWidth="1"/>
    <col min="5370" max="5370" width="11.28515625" style="3" customWidth="1"/>
    <col min="5371" max="5371" width="10.5703125" style="3" bestFit="1" customWidth="1"/>
    <col min="5372" max="5374" width="11.5703125" style="3" bestFit="1" customWidth="1"/>
    <col min="5375" max="5377" width="10.5703125" style="3" bestFit="1" customWidth="1"/>
    <col min="5378" max="5378" width="13.7109375" style="3" bestFit="1" customWidth="1"/>
    <col min="5379" max="5379" width="15.28515625" style="3" bestFit="1" customWidth="1"/>
    <col min="5380" max="5380" width="10.5703125" style="3" bestFit="1" customWidth="1"/>
    <col min="5381" max="5381" width="14.42578125" style="3" customWidth="1"/>
    <col min="5382" max="5382" width="12.5703125" style="3" bestFit="1" customWidth="1"/>
    <col min="5383" max="5383" width="14.28515625" style="3" bestFit="1" customWidth="1"/>
    <col min="5384" max="5386" width="12.5703125" style="3" bestFit="1" customWidth="1"/>
    <col min="5387" max="5395" width="0" style="3" hidden="1" customWidth="1"/>
    <col min="5396" max="5396" width="10.5703125" style="3" bestFit="1" customWidth="1"/>
    <col min="5397" max="5610" width="9.140625" style="3"/>
    <col min="5611" max="5611" width="4.28515625" style="3" customWidth="1"/>
    <col min="5612" max="5612" width="0" style="3" hidden="1" customWidth="1"/>
    <col min="5613" max="5613" width="48" style="3" customWidth="1"/>
    <col min="5614" max="5617" width="0" style="3" hidden="1" customWidth="1"/>
    <col min="5618" max="5618" width="9" style="3" customWidth="1"/>
    <col min="5619" max="5619" width="10.85546875" style="3" customWidth="1"/>
    <col min="5620" max="5620" width="10.42578125" style="3" customWidth="1"/>
    <col min="5621" max="5621" width="10.7109375" style="3" customWidth="1"/>
    <col min="5622" max="5625" width="10.5703125" style="3" bestFit="1" customWidth="1"/>
    <col min="5626" max="5626" width="11.28515625" style="3" customWidth="1"/>
    <col min="5627" max="5627" width="10.5703125" style="3" bestFit="1" customWidth="1"/>
    <col min="5628" max="5630" width="11.5703125" style="3" bestFit="1" customWidth="1"/>
    <col min="5631" max="5633" width="10.5703125" style="3" bestFit="1" customWidth="1"/>
    <col min="5634" max="5634" width="13.7109375" style="3" bestFit="1" customWidth="1"/>
    <col min="5635" max="5635" width="15.28515625" style="3" bestFit="1" customWidth="1"/>
    <col min="5636" max="5636" width="10.5703125" style="3" bestFit="1" customWidth="1"/>
    <col min="5637" max="5637" width="14.42578125" style="3" customWidth="1"/>
    <col min="5638" max="5638" width="12.5703125" style="3" bestFit="1" customWidth="1"/>
    <col min="5639" max="5639" width="14.28515625" style="3" bestFit="1" customWidth="1"/>
    <col min="5640" max="5642" width="12.5703125" style="3" bestFit="1" customWidth="1"/>
    <col min="5643" max="5651" width="0" style="3" hidden="1" customWidth="1"/>
    <col min="5652" max="5652" width="10.5703125" style="3" bestFit="1" customWidth="1"/>
    <col min="5653" max="5866" width="9.140625" style="3"/>
    <col min="5867" max="5867" width="4.28515625" style="3" customWidth="1"/>
    <col min="5868" max="5868" width="0" style="3" hidden="1" customWidth="1"/>
    <col min="5869" max="5869" width="48" style="3" customWidth="1"/>
    <col min="5870" max="5873" width="0" style="3" hidden="1" customWidth="1"/>
    <col min="5874" max="5874" width="9" style="3" customWidth="1"/>
    <col min="5875" max="5875" width="10.85546875" style="3" customWidth="1"/>
    <col min="5876" max="5876" width="10.42578125" style="3" customWidth="1"/>
    <col min="5877" max="5877" width="10.7109375" style="3" customWidth="1"/>
    <col min="5878" max="5881" width="10.5703125" style="3" bestFit="1" customWidth="1"/>
    <col min="5882" max="5882" width="11.28515625" style="3" customWidth="1"/>
    <col min="5883" max="5883" width="10.5703125" style="3" bestFit="1" customWidth="1"/>
    <col min="5884" max="5886" width="11.5703125" style="3" bestFit="1" customWidth="1"/>
    <col min="5887" max="5889" width="10.5703125" style="3" bestFit="1" customWidth="1"/>
    <col min="5890" max="5890" width="13.7109375" style="3" bestFit="1" customWidth="1"/>
    <col min="5891" max="5891" width="15.28515625" style="3" bestFit="1" customWidth="1"/>
    <col min="5892" max="5892" width="10.5703125" style="3" bestFit="1" customWidth="1"/>
    <col min="5893" max="5893" width="14.42578125" style="3" customWidth="1"/>
    <col min="5894" max="5894" width="12.5703125" style="3" bestFit="1" customWidth="1"/>
    <col min="5895" max="5895" width="14.28515625" style="3" bestFit="1" customWidth="1"/>
    <col min="5896" max="5898" width="12.5703125" style="3" bestFit="1" customWidth="1"/>
    <col min="5899" max="5907" width="0" style="3" hidden="1" customWidth="1"/>
    <col min="5908" max="5908" width="10.5703125" style="3" bestFit="1" customWidth="1"/>
    <col min="5909" max="6122" width="9.140625" style="3"/>
    <col min="6123" max="6123" width="4.28515625" style="3" customWidth="1"/>
    <col min="6124" max="6124" width="0" style="3" hidden="1" customWidth="1"/>
    <col min="6125" max="6125" width="48" style="3" customWidth="1"/>
    <col min="6126" max="6129" width="0" style="3" hidden="1" customWidth="1"/>
    <col min="6130" max="6130" width="9" style="3" customWidth="1"/>
    <col min="6131" max="6131" width="10.85546875" style="3" customWidth="1"/>
    <col min="6132" max="6132" width="10.42578125" style="3" customWidth="1"/>
    <col min="6133" max="6133" width="10.7109375" style="3" customWidth="1"/>
    <col min="6134" max="6137" width="10.5703125" style="3" bestFit="1" customWidth="1"/>
    <col min="6138" max="6138" width="11.28515625" style="3" customWidth="1"/>
    <col min="6139" max="6139" width="10.5703125" style="3" bestFit="1" customWidth="1"/>
    <col min="6140" max="6142" width="11.5703125" style="3" bestFit="1" customWidth="1"/>
    <col min="6143" max="6145" width="10.5703125" style="3" bestFit="1" customWidth="1"/>
    <col min="6146" max="6146" width="13.7109375" style="3" bestFit="1" customWidth="1"/>
    <col min="6147" max="6147" width="15.28515625" style="3" bestFit="1" customWidth="1"/>
    <col min="6148" max="6148" width="10.5703125" style="3" bestFit="1" customWidth="1"/>
    <col min="6149" max="6149" width="14.42578125" style="3" customWidth="1"/>
    <col min="6150" max="6150" width="12.5703125" style="3" bestFit="1" customWidth="1"/>
    <col min="6151" max="6151" width="14.28515625" style="3" bestFit="1" customWidth="1"/>
    <col min="6152" max="6154" width="12.5703125" style="3" bestFit="1" customWidth="1"/>
    <col min="6155" max="6163" width="0" style="3" hidden="1" customWidth="1"/>
    <col min="6164" max="6164" width="10.5703125" style="3" bestFit="1" customWidth="1"/>
    <col min="6165" max="6378" width="9.140625" style="3"/>
    <col min="6379" max="6379" width="4.28515625" style="3" customWidth="1"/>
    <col min="6380" max="6380" width="0" style="3" hidden="1" customWidth="1"/>
    <col min="6381" max="6381" width="48" style="3" customWidth="1"/>
    <col min="6382" max="6385" width="0" style="3" hidden="1" customWidth="1"/>
    <col min="6386" max="6386" width="9" style="3" customWidth="1"/>
    <col min="6387" max="6387" width="10.85546875" style="3" customWidth="1"/>
    <col min="6388" max="6388" width="10.42578125" style="3" customWidth="1"/>
    <col min="6389" max="6389" width="10.7109375" style="3" customWidth="1"/>
    <col min="6390" max="6393" width="10.5703125" style="3" bestFit="1" customWidth="1"/>
    <col min="6394" max="6394" width="11.28515625" style="3" customWidth="1"/>
    <col min="6395" max="6395" width="10.5703125" style="3" bestFit="1" customWidth="1"/>
    <col min="6396" max="6398" width="11.5703125" style="3" bestFit="1" customWidth="1"/>
    <col min="6399" max="6401" width="10.5703125" style="3" bestFit="1" customWidth="1"/>
    <col min="6402" max="6402" width="13.7109375" style="3" bestFit="1" customWidth="1"/>
    <col min="6403" max="6403" width="15.28515625" style="3" bestFit="1" customWidth="1"/>
    <col min="6404" max="6404" width="10.5703125" style="3" bestFit="1" customWidth="1"/>
    <col min="6405" max="6405" width="14.42578125" style="3" customWidth="1"/>
    <col min="6406" max="6406" width="12.5703125" style="3" bestFit="1" customWidth="1"/>
    <col min="6407" max="6407" width="14.28515625" style="3" bestFit="1" customWidth="1"/>
    <col min="6408" max="6410" width="12.5703125" style="3" bestFit="1" customWidth="1"/>
    <col min="6411" max="6419" width="0" style="3" hidden="1" customWidth="1"/>
    <col min="6420" max="6420" width="10.5703125" style="3" bestFit="1" customWidth="1"/>
    <col min="6421" max="6634" width="9.140625" style="3"/>
    <col min="6635" max="6635" width="4.28515625" style="3" customWidth="1"/>
    <col min="6636" max="6636" width="0" style="3" hidden="1" customWidth="1"/>
    <col min="6637" max="6637" width="48" style="3" customWidth="1"/>
    <col min="6638" max="6641" width="0" style="3" hidden="1" customWidth="1"/>
    <col min="6642" max="6642" width="9" style="3" customWidth="1"/>
    <col min="6643" max="6643" width="10.85546875" style="3" customWidth="1"/>
    <col min="6644" max="6644" width="10.42578125" style="3" customWidth="1"/>
    <col min="6645" max="6645" width="10.7109375" style="3" customWidth="1"/>
    <col min="6646" max="6649" width="10.5703125" style="3" bestFit="1" customWidth="1"/>
    <col min="6650" max="6650" width="11.28515625" style="3" customWidth="1"/>
    <col min="6651" max="6651" width="10.5703125" style="3" bestFit="1" customWidth="1"/>
    <col min="6652" max="6654" width="11.5703125" style="3" bestFit="1" customWidth="1"/>
    <col min="6655" max="6657" width="10.5703125" style="3" bestFit="1" customWidth="1"/>
    <col min="6658" max="6658" width="13.7109375" style="3" bestFit="1" customWidth="1"/>
    <col min="6659" max="6659" width="15.28515625" style="3" bestFit="1" customWidth="1"/>
    <col min="6660" max="6660" width="10.5703125" style="3" bestFit="1" customWidth="1"/>
    <col min="6661" max="6661" width="14.42578125" style="3" customWidth="1"/>
    <col min="6662" max="6662" width="12.5703125" style="3" bestFit="1" customWidth="1"/>
    <col min="6663" max="6663" width="14.28515625" style="3" bestFit="1" customWidth="1"/>
    <col min="6664" max="6666" width="12.5703125" style="3" bestFit="1" customWidth="1"/>
    <col min="6667" max="6675" width="0" style="3" hidden="1" customWidth="1"/>
    <col min="6676" max="6676" width="10.5703125" style="3" bestFit="1" customWidth="1"/>
    <col min="6677" max="6890" width="9.140625" style="3"/>
    <col min="6891" max="6891" width="4.28515625" style="3" customWidth="1"/>
    <col min="6892" max="6892" width="0" style="3" hidden="1" customWidth="1"/>
    <col min="6893" max="6893" width="48" style="3" customWidth="1"/>
    <col min="6894" max="6897" width="0" style="3" hidden="1" customWidth="1"/>
    <col min="6898" max="6898" width="9" style="3" customWidth="1"/>
    <col min="6899" max="6899" width="10.85546875" style="3" customWidth="1"/>
    <col min="6900" max="6900" width="10.42578125" style="3" customWidth="1"/>
    <col min="6901" max="6901" width="10.7109375" style="3" customWidth="1"/>
    <col min="6902" max="6905" width="10.5703125" style="3" bestFit="1" customWidth="1"/>
    <col min="6906" max="6906" width="11.28515625" style="3" customWidth="1"/>
    <col min="6907" max="6907" width="10.5703125" style="3" bestFit="1" customWidth="1"/>
    <col min="6908" max="6910" width="11.5703125" style="3" bestFit="1" customWidth="1"/>
    <col min="6911" max="6913" width="10.5703125" style="3" bestFit="1" customWidth="1"/>
    <col min="6914" max="6914" width="13.7109375" style="3" bestFit="1" customWidth="1"/>
    <col min="6915" max="6915" width="15.28515625" style="3" bestFit="1" customWidth="1"/>
    <col min="6916" max="6916" width="10.5703125" style="3" bestFit="1" customWidth="1"/>
    <col min="6917" max="6917" width="14.42578125" style="3" customWidth="1"/>
    <col min="6918" max="6918" width="12.5703125" style="3" bestFit="1" customWidth="1"/>
    <col min="6919" max="6919" width="14.28515625" style="3" bestFit="1" customWidth="1"/>
    <col min="6920" max="6922" width="12.5703125" style="3" bestFit="1" customWidth="1"/>
    <col min="6923" max="6931" width="0" style="3" hidden="1" customWidth="1"/>
    <col min="6932" max="6932" width="10.5703125" style="3" bestFit="1" customWidth="1"/>
    <col min="6933" max="7146" width="9.140625" style="3"/>
    <col min="7147" max="7147" width="4.28515625" style="3" customWidth="1"/>
    <col min="7148" max="7148" width="0" style="3" hidden="1" customWidth="1"/>
    <col min="7149" max="7149" width="48" style="3" customWidth="1"/>
    <col min="7150" max="7153" width="0" style="3" hidden="1" customWidth="1"/>
    <col min="7154" max="7154" width="9" style="3" customWidth="1"/>
    <col min="7155" max="7155" width="10.85546875" style="3" customWidth="1"/>
    <col min="7156" max="7156" width="10.42578125" style="3" customWidth="1"/>
    <col min="7157" max="7157" width="10.7109375" style="3" customWidth="1"/>
    <col min="7158" max="7161" width="10.5703125" style="3" bestFit="1" customWidth="1"/>
    <col min="7162" max="7162" width="11.28515625" style="3" customWidth="1"/>
    <col min="7163" max="7163" width="10.5703125" style="3" bestFit="1" customWidth="1"/>
    <col min="7164" max="7166" width="11.5703125" style="3" bestFit="1" customWidth="1"/>
    <col min="7167" max="7169" width="10.5703125" style="3" bestFit="1" customWidth="1"/>
    <col min="7170" max="7170" width="13.7109375" style="3" bestFit="1" customWidth="1"/>
    <col min="7171" max="7171" width="15.28515625" style="3" bestFit="1" customWidth="1"/>
    <col min="7172" max="7172" width="10.5703125" style="3" bestFit="1" customWidth="1"/>
    <col min="7173" max="7173" width="14.42578125" style="3" customWidth="1"/>
    <col min="7174" max="7174" width="12.5703125" style="3" bestFit="1" customWidth="1"/>
    <col min="7175" max="7175" width="14.28515625" style="3" bestFit="1" customWidth="1"/>
    <col min="7176" max="7178" width="12.5703125" style="3" bestFit="1" customWidth="1"/>
    <col min="7179" max="7187" width="0" style="3" hidden="1" customWidth="1"/>
    <col min="7188" max="7188" width="10.5703125" style="3" bestFit="1" customWidth="1"/>
    <col min="7189" max="7402" width="9.140625" style="3"/>
    <col min="7403" max="7403" width="4.28515625" style="3" customWidth="1"/>
    <col min="7404" max="7404" width="0" style="3" hidden="1" customWidth="1"/>
    <col min="7405" max="7405" width="48" style="3" customWidth="1"/>
    <col min="7406" max="7409" width="0" style="3" hidden="1" customWidth="1"/>
    <col min="7410" max="7410" width="9" style="3" customWidth="1"/>
    <col min="7411" max="7411" width="10.85546875" style="3" customWidth="1"/>
    <col min="7412" max="7412" width="10.42578125" style="3" customWidth="1"/>
    <col min="7413" max="7413" width="10.7109375" style="3" customWidth="1"/>
    <col min="7414" max="7417" width="10.5703125" style="3" bestFit="1" customWidth="1"/>
    <col min="7418" max="7418" width="11.28515625" style="3" customWidth="1"/>
    <col min="7419" max="7419" width="10.5703125" style="3" bestFit="1" customWidth="1"/>
    <col min="7420" max="7422" width="11.5703125" style="3" bestFit="1" customWidth="1"/>
    <col min="7423" max="7425" width="10.5703125" style="3" bestFit="1" customWidth="1"/>
    <col min="7426" max="7426" width="13.7109375" style="3" bestFit="1" customWidth="1"/>
    <col min="7427" max="7427" width="15.28515625" style="3" bestFit="1" customWidth="1"/>
    <col min="7428" max="7428" width="10.5703125" style="3" bestFit="1" customWidth="1"/>
    <col min="7429" max="7429" width="14.42578125" style="3" customWidth="1"/>
    <col min="7430" max="7430" width="12.5703125" style="3" bestFit="1" customWidth="1"/>
    <col min="7431" max="7431" width="14.28515625" style="3" bestFit="1" customWidth="1"/>
    <col min="7432" max="7434" width="12.5703125" style="3" bestFit="1" customWidth="1"/>
    <col min="7435" max="7443" width="0" style="3" hidden="1" customWidth="1"/>
    <col min="7444" max="7444" width="10.5703125" style="3" bestFit="1" customWidth="1"/>
    <col min="7445" max="7658" width="9.140625" style="3"/>
    <col min="7659" max="7659" width="4.28515625" style="3" customWidth="1"/>
    <col min="7660" max="7660" width="0" style="3" hidden="1" customWidth="1"/>
    <col min="7661" max="7661" width="48" style="3" customWidth="1"/>
    <col min="7662" max="7665" width="0" style="3" hidden="1" customWidth="1"/>
    <col min="7666" max="7666" width="9" style="3" customWidth="1"/>
    <col min="7667" max="7667" width="10.85546875" style="3" customWidth="1"/>
    <col min="7668" max="7668" width="10.42578125" style="3" customWidth="1"/>
    <col min="7669" max="7669" width="10.7109375" style="3" customWidth="1"/>
    <col min="7670" max="7673" width="10.5703125" style="3" bestFit="1" customWidth="1"/>
    <col min="7674" max="7674" width="11.28515625" style="3" customWidth="1"/>
    <col min="7675" max="7675" width="10.5703125" style="3" bestFit="1" customWidth="1"/>
    <col min="7676" max="7678" width="11.5703125" style="3" bestFit="1" customWidth="1"/>
    <col min="7679" max="7681" width="10.5703125" style="3" bestFit="1" customWidth="1"/>
    <col min="7682" max="7682" width="13.7109375" style="3" bestFit="1" customWidth="1"/>
    <col min="7683" max="7683" width="15.28515625" style="3" bestFit="1" customWidth="1"/>
    <col min="7684" max="7684" width="10.5703125" style="3" bestFit="1" customWidth="1"/>
    <col min="7685" max="7685" width="14.42578125" style="3" customWidth="1"/>
    <col min="7686" max="7686" width="12.5703125" style="3" bestFit="1" customWidth="1"/>
    <col min="7687" max="7687" width="14.28515625" style="3" bestFit="1" customWidth="1"/>
    <col min="7688" max="7690" width="12.5703125" style="3" bestFit="1" customWidth="1"/>
    <col min="7691" max="7699" width="0" style="3" hidden="1" customWidth="1"/>
    <col min="7700" max="7700" width="10.5703125" style="3" bestFit="1" customWidth="1"/>
    <col min="7701" max="7914" width="9.140625" style="3"/>
    <col min="7915" max="7915" width="4.28515625" style="3" customWidth="1"/>
    <col min="7916" max="7916" width="0" style="3" hidden="1" customWidth="1"/>
    <col min="7917" max="7917" width="48" style="3" customWidth="1"/>
    <col min="7918" max="7921" width="0" style="3" hidden="1" customWidth="1"/>
    <col min="7922" max="7922" width="9" style="3" customWidth="1"/>
    <col min="7923" max="7923" width="10.85546875" style="3" customWidth="1"/>
    <col min="7924" max="7924" width="10.42578125" style="3" customWidth="1"/>
    <col min="7925" max="7925" width="10.7109375" style="3" customWidth="1"/>
    <col min="7926" max="7929" width="10.5703125" style="3" bestFit="1" customWidth="1"/>
    <col min="7930" max="7930" width="11.28515625" style="3" customWidth="1"/>
    <col min="7931" max="7931" width="10.5703125" style="3" bestFit="1" customWidth="1"/>
    <col min="7932" max="7934" width="11.5703125" style="3" bestFit="1" customWidth="1"/>
    <col min="7935" max="7937" width="10.5703125" style="3" bestFit="1" customWidth="1"/>
    <col min="7938" max="7938" width="13.7109375" style="3" bestFit="1" customWidth="1"/>
    <col min="7939" max="7939" width="15.28515625" style="3" bestFit="1" customWidth="1"/>
    <col min="7940" max="7940" width="10.5703125" style="3" bestFit="1" customWidth="1"/>
    <col min="7941" max="7941" width="14.42578125" style="3" customWidth="1"/>
    <col min="7942" max="7942" width="12.5703125" style="3" bestFit="1" customWidth="1"/>
    <col min="7943" max="7943" width="14.28515625" style="3" bestFit="1" customWidth="1"/>
    <col min="7944" max="7946" width="12.5703125" style="3" bestFit="1" customWidth="1"/>
    <col min="7947" max="7955" width="0" style="3" hidden="1" customWidth="1"/>
    <col min="7956" max="7956" width="10.5703125" style="3" bestFit="1" customWidth="1"/>
    <col min="7957" max="8170" width="9.140625" style="3"/>
    <col min="8171" max="8171" width="4.28515625" style="3" customWidth="1"/>
    <col min="8172" max="8172" width="0" style="3" hidden="1" customWidth="1"/>
    <col min="8173" max="8173" width="48" style="3" customWidth="1"/>
    <col min="8174" max="8177" width="0" style="3" hidden="1" customWidth="1"/>
    <col min="8178" max="8178" width="9" style="3" customWidth="1"/>
    <col min="8179" max="8179" width="10.85546875" style="3" customWidth="1"/>
    <col min="8180" max="8180" width="10.42578125" style="3" customWidth="1"/>
    <col min="8181" max="8181" width="10.7109375" style="3" customWidth="1"/>
    <col min="8182" max="8185" width="10.5703125" style="3" bestFit="1" customWidth="1"/>
    <col min="8186" max="8186" width="11.28515625" style="3" customWidth="1"/>
    <col min="8187" max="8187" width="10.5703125" style="3" bestFit="1" customWidth="1"/>
    <col min="8188" max="8190" width="11.5703125" style="3" bestFit="1" customWidth="1"/>
    <col min="8191" max="8193" width="10.5703125" style="3" bestFit="1" customWidth="1"/>
    <col min="8194" max="8194" width="13.7109375" style="3" bestFit="1" customWidth="1"/>
    <col min="8195" max="8195" width="15.28515625" style="3" bestFit="1" customWidth="1"/>
    <col min="8196" max="8196" width="10.5703125" style="3" bestFit="1" customWidth="1"/>
    <col min="8197" max="8197" width="14.42578125" style="3" customWidth="1"/>
    <col min="8198" max="8198" width="12.5703125" style="3" bestFit="1" customWidth="1"/>
    <col min="8199" max="8199" width="14.28515625" style="3" bestFit="1" customWidth="1"/>
    <col min="8200" max="8202" width="12.5703125" style="3" bestFit="1" customWidth="1"/>
    <col min="8203" max="8211" width="0" style="3" hidden="1" customWidth="1"/>
    <col min="8212" max="8212" width="10.5703125" style="3" bestFit="1" customWidth="1"/>
    <col min="8213" max="8426" width="9.140625" style="3"/>
    <col min="8427" max="8427" width="4.28515625" style="3" customWidth="1"/>
    <col min="8428" max="8428" width="0" style="3" hidden="1" customWidth="1"/>
    <col min="8429" max="8429" width="48" style="3" customWidth="1"/>
    <col min="8430" max="8433" width="0" style="3" hidden="1" customWidth="1"/>
    <col min="8434" max="8434" width="9" style="3" customWidth="1"/>
    <col min="8435" max="8435" width="10.85546875" style="3" customWidth="1"/>
    <col min="8436" max="8436" width="10.42578125" style="3" customWidth="1"/>
    <col min="8437" max="8437" width="10.7109375" style="3" customWidth="1"/>
    <col min="8438" max="8441" width="10.5703125" style="3" bestFit="1" customWidth="1"/>
    <col min="8442" max="8442" width="11.28515625" style="3" customWidth="1"/>
    <col min="8443" max="8443" width="10.5703125" style="3" bestFit="1" customWidth="1"/>
    <col min="8444" max="8446" width="11.5703125" style="3" bestFit="1" customWidth="1"/>
    <col min="8447" max="8449" width="10.5703125" style="3" bestFit="1" customWidth="1"/>
    <col min="8450" max="8450" width="13.7109375" style="3" bestFit="1" customWidth="1"/>
    <col min="8451" max="8451" width="15.28515625" style="3" bestFit="1" customWidth="1"/>
    <col min="8452" max="8452" width="10.5703125" style="3" bestFit="1" customWidth="1"/>
    <col min="8453" max="8453" width="14.42578125" style="3" customWidth="1"/>
    <col min="8454" max="8454" width="12.5703125" style="3" bestFit="1" customWidth="1"/>
    <col min="8455" max="8455" width="14.28515625" style="3" bestFit="1" customWidth="1"/>
    <col min="8456" max="8458" width="12.5703125" style="3" bestFit="1" customWidth="1"/>
    <col min="8459" max="8467" width="0" style="3" hidden="1" customWidth="1"/>
    <col min="8468" max="8468" width="10.5703125" style="3" bestFit="1" customWidth="1"/>
    <col min="8469" max="8682" width="9.140625" style="3"/>
    <col min="8683" max="8683" width="4.28515625" style="3" customWidth="1"/>
    <col min="8684" max="8684" width="0" style="3" hidden="1" customWidth="1"/>
    <col min="8685" max="8685" width="48" style="3" customWidth="1"/>
    <col min="8686" max="8689" width="0" style="3" hidden="1" customWidth="1"/>
    <col min="8690" max="8690" width="9" style="3" customWidth="1"/>
    <col min="8691" max="8691" width="10.85546875" style="3" customWidth="1"/>
    <col min="8692" max="8692" width="10.42578125" style="3" customWidth="1"/>
    <col min="8693" max="8693" width="10.7109375" style="3" customWidth="1"/>
    <col min="8694" max="8697" width="10.5703125" style="3" bestFit="1" customWidth="1"/>
    <col min="8698" max="8698" width="11.28515625" style="3" customWidth="1"/>
    <col min="8699" max="8699" width="10.5703125" style="3" bestFit="1" customWidth="1"/>
    <col min="8700" max="8702" width="11.5703125" style="3" bestFit="1" customWidth="1"/>
    <col min="8703" max="8705" width="10.5703125" style="3" bestFit="1" customWidth="1"/>
    <col min="8706" max="8706" width="13.7109375" style="3" bestFit="1" customWidth="1"/>
    <col min="8707" max="8707" width="15.28515625" style="3" bestFit="1" customWidth="1"/>
    <col min="8708" max="8708" width="10.5703125" style="3" bestFit="1" customWidth="1"/>
    <col min="8709" max="8709" width="14.42578125" style="3" customWidth="1"/>
    <col min="8710" max="8710" width="12.5703125" style="3" bestFit="1" customWidth="1"/>
    <col min="8711" max="8711" width="14.28515625" style="3" bestFit="1" customWidth="1"/>
    <col min="8712" max="8714" width="12.5703125" style="3" bestFit="1" customWidth="1"/>
    <col min="8715" max="8723" width="0" style="3" hidden="1" customWidth="1"/>
    <col min="8724" max="8724" width="10.5703125" style="3" bestFit="1" customWidth="1"/>
    <col min="8725" max="8938" width="9.140625" style="3"/>
    <col min="8939" max="8939" width="4.28515625" style="3" customWidth="1"/>
    <col min="8940" max="8940" width="0" style="3" hidden="1" customWidth="1"/>
    <col min="8941" max="8941" width="48" style="3" customWidth="1"/>
    <col min="8942" max="8945" width="0" style="3" hidden="1" customWidth="1"/>
    <col min="8946" max="8946" width="9" style="3" customWidth="1"/>
    <col min="8947" max="8947" width="10.85546875" style="3" customWidth="1"/>
    <col min="8948" max="8948" width="10.42578125" style="3" customWidth="1"/>
    <col min="8949" max="8949" width="10.7109375" style="3" customWidth="1"/>
    <col min="8950" max="8953" width="10.5703125" style="3" bestFit="1" customWidth="1"/>
    <col min="8954" max="8954" width="11.28515625" style="3" customWidth="1"/>
    <col min="8955" max="8955" width="10.5703125" style="3" bestFit="1" customWidth="1"/>
    <col min="8956" max="8958" width="11.5703125" style="3" bestFit="1" customWidth="1"/>
    <col min="8959" max="8961" width="10.5703125" style="3" bestFit="1" customWidth="1"/>
    <col min="8962" max="8962" width="13.7109375" style="3" bestFit="1" customWidth="1"/>
    <col min="8963" max="8963" width="15.28515625" style="3" bestFit="1" customWidth="1"/>
    <col min="8964" max="8964" width="10.5703125" style="3" bestFit="1" customWidth="1"/>
    <col min="8965" max="8965" width="14.42578125" style="3" customWidth="1"/>
    <col min="8966" max="8966" width="12.5703125" style="3" bestFit="1" customWidth="1"/>
    <col min="8967" max="8967" width="14.28515625" style="3" bestFit="1" customWidth="1"/>
    <col min="8968" max="8970" width="12.5703125" style="3" bestFit="1" customWidth="1"/>
    <col min="8971" max="8979" width="0" style="3" hidden="1" customWidth="1"/>
    <col min="8980" max="8980" width="10.5703125" style="3" bestFit="1" customWidth="1"/>
    <col min="8981" max="9194" width="9.140625" style="3"/>
    <col min="9195" max="9195" width="4.28515625" style="3" customWidth="1"/>
    <col min="9196" max="9196" width="0" style="3" hidden="1" customWidth="1"/>
    <col min="9197" max="9197" width="48" style="3" customWidth="1"/>
    <col min="9198" max="9201" width="0" style="3" hidden="1" customWidth="1"/>
    <col min="9202" max="9202" width="9" style="3" customWidth="1"/>
    <col min="9203" max="9203" width="10.85546875" style="3" customWidth="1"/>
    <col min="9204" max="9204" width="10.42578125" style="3" customWidth="1"/>
    <col min="9205" max="9205" width="10.7109375" style="3" customWidth="1"/>
    <col min="9206" max="9209" width="10.5703125" style="3" bestFit="1" customWidth="1"/>
    <col min="9210" max="9210" width="11.28515625" style="3" customWidth="1"/>
    <col min="9211" max="9211" width="10.5703125" style="3" bestFit="1" customWidth="1"/>
    <col min="9212" max="9214" width="11.5703125" style="3" bestFit="1" customWidth="1"/>
    <col min="9215" max="9217" width="10.5703125" style="3" bestFit="1" customWidth="1"/>
    <col min="9218" max="9218" width="13.7109375" style="3" bestFit="1" customWidth="1"/>
    <col min="9219" max="9219" width="15.28515625" style="3" bestFit="1" customWidth="1"/>
    <col min="9220" max="9220" width="10.5703125" style="3" bestFit="1" customWidth="1"/>
    <col min="9221" max="9221" width="14.42578125" style="3" customWidth="1"/>
    <col min="9222" max="9222" width="12.5703125" style="3" bestFit="1" customWidth="1"/>
    <col min="9223" max="9223" width="14.28515625" style="3" bestFit="1" customWidth="1"/>
    <col min="9224" max="9226" width="12.5703125" style="3" bestFit="1" customWidth="1"/>
    <col min="9227" max="9235" width="0" style="3" hidden="1" customWidth="1"/>
    <col min="9236" max="9236" width="10.5703125" style="3" bestFit="1" customWidth="1"/>
    <col min="9237" max="9450" width="9.140625" style="3"/>
    <col min="9451" max="9451" width="4.28515625" style="3" customWidth="1"/>
    <col min="9452" max="9452" width="0" style="3" hidden="1" customWidth="1"/>
    <col min="9453" max="9453" width="48" style="3" customWidth="1"/>
    <col min="9454" max="9457" width="0" style="3" hidden="1" customWidth="1"/>
    <col min="9458" max="9458" width="9" style="3" customWidth="1"/>
    <col min="9459" max="9459" width="10.85546875" style="3" customWidth="1"/>
    <col min="9460" max="9460" width="10.42578125" style="3" customWidth="1"/>
    <col min="9461" max="9461" width="10.7109375" style="3" customWidth="1"/>
    <col min="9462" max="9465" width="10.5703125" style="3" bestFit="1" customWidth="1"/>
    <col min="9466" max="9466" width="11.28515625" style="3" customWidth="1"/>
    <col min="9467" max="9467" width="10.5703125" style="3" bestFit="1" customWidth="1"/>
    <col min="9468" max="9470" width="11.5703125" style="3" bestFit="1" customWidth="1"/>
    <col min="9471" max="9473" width="10.5703125" style="3" bestFit="1" customWidth="1"/>
    <col min="9474" max="9474" width="13.7109375" style="3" bestFit="1" customWidth="1"/>
    <col min="9475" max="9475" width="15.28515625" style="3" bestFit="1" customWidth="1"/>
    <col min="9476" max="9476" width="10.5703125" style="3" bestFit="1" customWidth="1"/>
    <col min="9477" max="9477" width="14.42578125" style="3" customWidth="1"/>
    <col min="9478" max="9478" width="12.5703125" style="3" bestFit="1" customWidth="1"/>
    <col min="9479" max="9479" width="14.28515625" style="3" bestFit="1" customWidth="1"/>
    <col min="9480" max="9482" width="12.5703125" style="3" bestFit="1" customWidth="1"/>
    <col min="9483" max="9491" width="0" style="3" hidden="1" customWidth="1"/>
    <col min="9492" max="9492" width="10.5703125" style="3" bestFit="1" customWidth="1"/>
    <col min="9493" max="9706" width="9.140625" style="3"/>
    <col min="9707" max="9707" width="4.28515625" style="3" customWidth="1"/>
    <col min="9708" max="9708" width="0" style="3" hidden="1" customWidth="1"/>
    <col min="9709" max="9709" width="48" style="3" customWidth="1"/>
    <col min="9710" max="9713" width="0" style="3" hidden="1" customWidth="1"/>
    <col min="9714" max="9714" width="9" style="3" customWidth="1"/>
    <col min="9715" max="9715" width="10.85546875" style="3" customWidth="1"/>
    <col min="9716" max="9716" width="10.42578125" style="3" customWidth="1"/>
    <col min="9717" max="9717" width="10.7109375" style="3" customWidth="1"/>
    <col min="9718" max="9721" width="10.5703125" style="3" bestFit="1" customWidth="1"/>
    <col min="9722" max="9722" width="11.28515625" style="3" customWidth="1"/>
    <col min="9723" max="9723" width="10.5703125" style="3" bestFit="1" customWidth="1"/>
    <col min="9724" max="9726" width="11.5703125" style="3" bestFit="1" customWidth="1"/>
    <col min="9727" max="9729" width="10.5703125" style="3" bestFit="1" customWidth="1"/>
    <col min="9730" max="9730" width="13.7109375" style="3" bestFit="1" customWidth="1"/>
    <col min="9731" max="9731" width="15.28515625" style="3" bestFit="1" customWidth="1"/>
    <col min="9732" max="9732" width="10.5703125" style="3" bestFit="1" customWidth="1"/>
    <col min="9733" max="9733" width="14.42578125" style="3" customWidth="1"/>
    <col min="9734" max="9734" width="12.5703125" style="3" bestFit="1" customWidth="1"/>
    <col min="9735" max="9735" width="14.28515625" style="3" bestFit="1" customWidth="1"/>
    <col min="9736" max="9738" width="12.5703125" style="3" bestFit="1" customWidth="1"/>
    <col min="9739" max="9747" width="0" style="3" hidden="1" customWidth="1"/>
    <col min="9748" max="9748" width="10.5703125" style="3" bestFit="1" customWidth="1"/>
    <col min="9749" max="9962" width="9.140625" style="3"/>
    <col min="9963" max="9963" width="4.28515625" style="3" customWidth="1"/>
    <col min="9964" max="9964" width="0" style="3" hidden="1" customWidth="1"/>
    <col min="9965" max="9965" width="48" style="3" customWidth="1"/>
    <col min="9966" max="9969" width="0" style="3" hidden="1" customWidth="1"/>
    <col min="9970" max="9970" width="9" style="3" customWidth="1"/>
    <col min="9971" max="9971" width="10.85546875" style="3" customWidth="1"/>
    <col min="9972" max="9972" width="10.42578125" style="3" customWidth="1"/>
    <col min="9973" max="9973" width="10.7109375" style="3" customWidth="1"/>
    <col min="9974" max="9977" width="10.5703125" style="3" bestFit="1" customWidth="1"/>
    <col min="9978" max="9978" width="11.28515625" style="3" customWidth="1"/>
    <col min="9979" max="9979" width="10.5703125" style="3" bestFit="1" customWidth="1"/>
    <col min="9980" max="9982" width="11.5703125" style="3" bestFit="1" customWidth="1"/>
    <col min="9983" max="9985" width="10.5703125" style="3" bestFit="1" customWidth="1"/>
    <col min="9986" max="9986" width="13.7109375" style="3" bestFit="1" customWidth="1"/>
    <col min="9987" max="9987" width="15.28515625" style="3" bestFit="1" customWidth="1"/>
    <col min="9988" max="9988" width="10.5703125" style="3" bestFit="1" customWidth="1"/>
    <col min="9989" max="9989" width="14.42578125" style="3" customWidth="1"/>
    <col min="9990" max="9990" width="12.5703125" style="3" bestFit="1" customWidth="1"/>
    <col min="9991" max="9991" width="14.28515625" style="3" bestFit="1" customWidth="1"/>
    <col min="9992" max="9994" width="12.5703125" style="3" bestFit="1" customWidth="1"/>
    <col min="9995" max="10003" width="0" style="3" hidden="1" customWidth="1"/>
    <col min="10004" max="10004" width="10.5703125" style="3" bestFit="1" customWidth="1"/>
    <col min="10005" max="10218" width="9.140625" style="3"/>
    <col min="10219" max="10219" width="4.28515625" style="3" customWidth="1"/>
    <col min="10220" max="10220" width="0" style="3" hidden="1" customWidth="1"/>
    <col min="10221" max="10221" width="48" style="3" customWidth="1"/>
    <col min="10222" max="10225" width="0" style="3" hidden="1" customWidth="1"/>
    <col min="10226" max="10226" width="9" style="3" customWidth="1"/>
    <col min="10227" max="10227" width="10.85546875" style="3" customWidth="1"/>
    <col min="10228" max="10228" width="10.42578125" style="3" customWidth="1"/>
    <col min="10229" max="10229" width="10.7109375" style="3" customWidth="1"/>
    <col min="10230" max="10233" width="10.5703125" style="3" bestFit="1" customWidth="1"/>
    <col min="10234" max="10234" width="11.28515625" style="3" customWidth="1"/>
    <col min="10235" max="10235" width="10.5703125" style="3" bestFit="1" customWidth="1"/>
    <col min="10236" max="10238" width="11.5703125" style="3" bestFit="1" customWidth="1"/>
    <col min="10239" max="10241" width="10.5703125" style="3" bestFit="1" customWidth="1"/>
    <col min="10242" max="10242" width="13.7109375" style="3" bestFit="1" customWidth="1"/>
    <col min="10243" max="10243" width="15.28515625" style="3" bestFit="1" customWidth="1"/>
    <col min="10244" max="10244" width="10.5703125" style="3" bestFit="1" customWidth="1"/>
    <col min="10245" max="10245" width="14.42578125" style="3" customWidth="1"/>
    <col min="10246" max="10246" width="12.5703125" style="3" bestFit="1" customWidth="1"/>
    <col min="10247" max="10247" width="14.28515625" style="3" bestFit="1" customWidth="1"/>
    <col min="10248" max="10250" width="12.5703125" style="3" bestFit="1" customWidth="1"/>
    <col min="10251" max="10259" width="0" style="3" hidden="1" customWidth="1"/>
    <col min="10260" max="10260" width="10.5703125" style="3" bestFit="1" customWidth="1"/>
    <col min="10261" max="10474" width="9.140625" style="3"/>
    <col min="10475" max="10475" width="4.28515625" style="3" customWidth="1"/>
    <col min="10476" max="10476" width="0" style="3" hidden="1" customWidth="1"/>
    <col min="10477" max="10477" width="48" style="3" customWidth="1"/>
    <col min="10478" max="10481" width="0" style="3" hidden="1" customWidth="1"/>
    <col min="10482" max="10482" width="9" style="3" customWidth="1"/>
    <col min="10483" max="10483" width="10.85546875" style="3" customWidth="1"/>
    <col min="10484" max="10484" width="10.42578125" style="3" customWidth="1"/>
    <col min="10485" max="10485" width="10.7109375" style="3" customWidth="1"/>
    <col min="10486" max="10489" width="10.5703125" style="3" bestFit="1" customWidth="1"/>
    <col min="10490" max="10490" width="11.28515625" style="3" customWidth="1"/>
    <col min="10491" max="10491" width="10.5703125" style="3" bestFit="1" customWidth="1"/>
    <col min="10492" max="10494" width="11.5703125" style="3" bestFit="1" customWidth="1"/>
    <col min="10495" max="10497" width="10.5703125" style="3" bestFit="1" customWidth="1"/>
    <col min="10498" max="10498" width="13.7109375" style="3" bestFit="1" customWidth="1"/>
    <col min="10499" max="10499" width="15.28515625" style="3" bestFit="1" customWidth="1"/>
    <col min="10500" max="10500" width="10.5703125" style="3" bestFit="1" customWidth="1"/>
    <col min="10501" max="10501" width="14.42578125" style="3" customWidth="1"/>
    <col min="10502" max="10502" width="12.5703125" style="3" bestFit="1" customWidth="1"/>
    <col min="10503" max="10503" width="14.28515625" style="3" bestFit="1" customWidth="1"/>
    <col min="10504" max="10506" width="12.5703125" style="3" bestFit="1" customWidth="1"/>
    <col min="10507" max="10515" width="0" style="3" hidden="1" customWidth="1"/>
    <col min="10516" max="10516" width="10.5703125" style="3" bestFit="1" customWidth="1"/>
    <col min="10517" max="10730" width="9.140625" style="3"/>
    <col min="10731" max="10731" width="4.28515625" style="3" customWidth="1"/>
    <col min="10732" max="10732" width="0" style="3" hidden="1" customWidth="1"/>
    <col min="10733" max="10733" width="48" style="3" customWidth="1"/>
    <col min="10734" max="10737" width="0" style="3" hidden="1" customWidth="1"/>
    <col min="10738" max="10738" width="9" style="3" customWidth="1"/>
    <col min="10739" max="10739" width="10.85546875" style="3" customWidth="1"/>
    <col min="10740" max="10740" width="10.42578125" style="3" customWidth="1"/>
    <col min="10741" max="10741" width="10.7109375" style="3" customWidth="1"/>
    <col min="10742" max="10745" width="10.5703125" style="3" bestFit="1" customWidth="1"/>
    <col min="10746" max="10746" width="11.28515625" style="3" customWidth="1"/>
    <col min="10747" max="10747" width="10.5703125" style="3" bestFit="1" customWidth="1"/>
    <col min="10748" max="10750" width="11.5703125" style="3" bestFit="1" customWidth="1"/>
    <col min="10751" max="10753" width="10.5703125" style="3" bestFit="1" customWidth="1"/>
    <col min="10754" max="10754" width="13.7109375" style="3" bestFit="1" customWidth="1"/>
    <col min="10755" max="10755" width="15.28515625" style="3" bestFit="1" customWidth="1"/>
    <col min="10756" max="10756" width="10.5703125" style="3" bestFit="1" customWidth="1"/>
    <col min="10757" max="10757" width="14.42578125" style="3" customWidth="1"/>
    <col min="10758" max="10758" width="12.5703125" style="3" bestFit="1" customWidth="1"/>
    <col min="10759" max="10759" width="14.28515625" style="3" bestFit="1" customWidth="1"/>
    <col min="10760" max="10762" width="12.5703125" style="3" bestFit="1" customWidth="1"/>
    <col min="10763" max="10771" width="0" style="3" hidden="1" customWidth="1"/>
    <col min="10772" max="10772" width="10.5703125" style="3" bestFit="1" customWidth="1"/>
    <col min="10773" max="10986" width="9.140625" style="3"/>
    <col min="10987" max="10987" width="4.28515625" style="3" customWidth="1"/>
    <col min="10988" max="10988" width="0" style="3" hidden="1" customWidth="1"/>
    <col min="10989" max="10989" width="48" style="3" customWidth="1"/>
    <col min="10990" max="10993" width="0" style="3" hidden="1" customWidth="1"/>
    <col min="10994" max="10994" width="9" style="3" customWidth="1"/>
    <col min="10995" max="10995" width="10.85546875" style="3" customWidth="1"/>
    <col min="10996" max="10996" width="10.42578125" style="3" customWidth="1"/>
    <col min="10997" max="10997" width="10.7109375" style="3" customWidth="1"/>
    <col min="10998" max="11001" width="10.5703125" style="3" bestFit="1" customWidth="1"/>
    <col min="11002" max="11002" width="11.28515625" style="3" customWidth="1"/>
    <col min="11003" max="11003" width="10.5703125" style="3" bestFit="1" customWidth="1"/>
    <col min="11004" max="11006" width="11.5703125" style="3" bestFit="1" customWidth="1"/>
    <col min="11007" max="11009" width="10.5703125" style="3" bestFit="1" customWidth="1"/>
    <col min="11010" max="11010" width="13.7109375" style="3" bestFit="1" customWidth="1"/>
    <col min="11011" max="11011" width="15.28515625" style="3" bestFit="1" customWidth="1"/>
    <col min="11012" max="11012" width="10.5703125" style="3" bestFit="1" customWidth="1"/>
    <col min="11013" max="11013" width="14.42578125" style="3" customWidth="1"/>
    <col min="11014" max="11014" width="12.5703125" style="3" bestFit="1" customWidth="1"/>
    <col min="11015" max="11015" width="14.28515625" style="3" bestFit="1" customWidth="1"/>
    <col min="11016" max="11018" width="12.5703125" style="3" bestFit="1" customWidth="1"/>
    <col min="11019" max="11027" width="0" style="3" hidden="1" customWidth="1"/>
    <col min="11028" max="11028" width="10.5703125" style="3" bestFit="1" customWidth="1"/>
    <col min="11029" max="11242" width="9.140625" style="3"/>
    <col min="11243" max="11243" width="4.28515625" style="3" customWidth="1"/>
    <col min="11244" max="11244" width="0" style="3" hidden="1" customWidth="1"/>
    <col min="11245" max="11245" width="48" style="3" customWidth="1"/>
    <col min="11246" max="11249" width="0" style="3" hidden="1" customWidth="1"/>
    <col min="11250" max="11250" width="9" style="3" customWidth="1"/>
    <col min="11251" max="11251" width="10.85546875" style="3" customWidth="1"/>
    <col min="11252" max="11252" width="10.42578125" style="3" customWidth="1"/>
    <col min="11253" max="11253" width="10.7109375" style="3" customWidth="1"/>
    <col min="11254" max="11257" width="10.5703125" style="3" bestFit="1" customWidth="1"/>
    <col min="11258" max="11258" width="11.28515625" style="3" customWidth="1"/>
    <col min="11259" max="11259" width="10.5703125" style="3" bestFit="1" customWidth="1"/>
    <col min="11260" max="11262" width="11.5703125" style="3" bestFit="1" customWidth="1"/>
    <col min="11263" max="11265" width="10.5703125" style="3" bestFit="1" customWidth="1"/>
    <col min="11266" max="11266" width="13.7109375" style="3" bestFit="1" customWidth="1"/>
    <col min="11267" max="11267" width="15.28515625" style="3" bestFit="1" customWidth="1"/>
    <col min="11268" max="11268" width="10.5703125" style="3" bestFit="1" customWidth="1"/>
    <col min="11269" max="11269" width="14.42578125" style="3" customWidth="1"/>
    <col min="11270" max="11270" width="12.5703125" style="3" bestFit="1" customWidth="1"/>
    <col min="11271" max="11271" width="14.28515625" style="3" bestFit="1" customWidth="1"/>
    <col min="11272" max="11274" width="12.5703125" style="3" bestFit="1" customWidth="1"/>
    <col min="11275" max="11283" width="0" style="3" hidden="1" customWidth="1"/>
    <col min="11284" max="11284" width="10.5703125" style="3" bestFit="1" customWidth="1"/>
    <col min="11285" max="11498" width="9.140625" style="3"/>
    <col min="11499" max="11499" width="4.28515625" style="3" customWidth="1"/>
    <col min="11500" max="11500" width="0" style="3" hidden="1" customWidth="1"/>
    <col min="11501" max="11501" width="48" style="3" customWidth="1"/>
    <col min="11502" max="11505" width="0" style="3" hidden="1" customWidth="1"/>
    <col min="11506" max="11506" width="9" style="3" customWidth="1"/>
    <col min="11507" max="11507" width="10.85546875" style="3" customWidth="1"/>
    <col min="11508" max="11508" width="10.42578125" style="3" customWidth="1"/>
    <col min="11509" max="11509" width="10.7109375" style="3" customWidth="1"/>
    <col min="11510" max="11513" width="10.5703125" style="3" bestFit="1" customWidth="1"/>
    <col min="11514" max="11514" width="11.28515625" style="3" customWidth="1"/>
    <col min="11515" max="11515" width="10.5703125" style="3" bestFit="1" customWidth="1"/>
    <col min="11516" max="11518" width="11.5703125" style="3" bestFit="1" customWidth="1"/>
    <col min="11519" max="11521" width="10.5703125" style="3" bestFit="1" customWidth="1"/>
    <col min="11522" max="11522" width="13.7109375" style="3" bestFit="1" customWidth="1"/>
    <col min="11523" max="11523" width="15.28515625" style="3" bestFit="1" customWidth="1"/>
    <col min="11524" max="11524" width="10.5703125" style="3" bestFit="1" customWidth="1"/>
    <col min="11525" max="11525" width="14.42578125" style="3" customWidth="1"/>
    <col min="11526" max="11526" width="12.5703125" style="3" bestFit="1" customWidth="1"/>
    <col min="11527" max="11527" width="14.28515625" style="3" bestFit="1" customWidth="1"/>
    <col min="11528" max="11530" width="12.5703125" style="3" bestFit="1" customWidth="1"/>
    <col min="11531" max="11539" width="0" style="3" hidden="1" customWidth="1"/>
    <col min="11540" max="11540" width="10.5703125" style="3" bestFit="1" customWidth="1"/>
    <col min="11541" max="11754" width="9.140625" style="3"/>
    <col min="11755" max="11755" width="4.28515625" style="3" customWidth="1"/>
    <col min="11756" max="11756" width="0" style="3" hidden="1" customWidth="1"/>
    <col min="11757" max="11757" width="48" style="3" customWidth="1"/>
    <col min="11758" max="11761" width="0" style="3" hidden="1" customWidth="1"/>
    <col min="11762" max="11762" width="9" style="3" customWidth="1"/>
    <col min="11763" max="11763" width="10.85546875" style="3" customWidth="1"/>
    <col min="11764" max="11764" width="10.42578125" style="3" customWidth="1"/>
    <col min="11765" max="11765" width="10.7109375" style="3" customWidth="1"/>
    <col min="11766" max="11769" width="10.5703125" style="3" bestFit="1" customWidth="1"/>
    <col min="11770" max="11770" width="11.28515625" style="3" customWidth="1"/>
    <col min="11771" max="11771" width="10.5703125" style="3" bestFit="1" customWidth="1"/>
    <col min="11772" max="11774" width="11.5703125" style="3" bestFit="1" customWidth="1"/>
    <col min="11775" max="11777" width="10.5703125" style="3" bestFit="1" customWidth="1"/>
    <col min="11778" max="11778" width="13.7109375" style="3" bestFit="1" customWidth="1"/>
    <col min="11779" max="11779" width="15.28515625" style="3" bestFit="1" customWidth="1"/>
    <col min="11780" max="11780" width="10.5703125" style="3" bestFit="1" customWidth="1"/>
    <col min="11781" max="11781" width="14.42578125" style="3" customWidth="1"/>
    <col min="11782" max="11782" width="12.5703125" style="3" bestFit="1" customWidth="1"/>
    <col min="11783" max="11783" width="14.28515625" style="3" bestFit="1" customWidth="1"/>
    <col min="11784" max="11786" width="12.5703125" style="3" bestFit="1" customWidth="1"/>
    <col min="11787" max="11795" width="0" style="3" hidden="1" customWidth="1"/>
    <col min="11796" max="11796" width="10.5703125" style="3" bestFit="1" customWidth="1"/>
    <col min="11797" max="12010" width="9.140625" style="3"/>
    <col min="12011" max="12011" width="4.28515625" style="3" customWidth="1"/>
    <col min="12012" max="12012" width="0" style="3" hidden="1" customWidth="1"/>
    <col min="12013" max="12013" width="48" style="3" customWidth="1"/>
    <col min="12014" max="12017" width="0" style="3" hidden="1" customWidth="1"/>
    <col min="12018" max="12018" width="9" style="3" customWidth="1"/>
    <col min="12019" max="12019" width="10.85546875" style="3" customWidth="1"/>
    <col min="12020" max="12020" width="10.42578125" style="3" customWidth="1"/>
    <col min="12021" max="12021" width="10.7109375" style="3" customWidth="1"/>
    <col min="12022" max="12025" width="10.5703125" style="3" bestFit="1" customWidth="1"/>
    <col min="12026" max="12026" width="11.28515625" style="3" customWidth="1"/>
    <col min="12027" max="12027" width="10.5703125" style="3" bestFit="1" customWidth="1"/>
    <col min="12028" max="12030" width="11.5703125" style="3" bestFit="1" customWidth="1"/>
    <col min="12031" max="12033" width="10.5703125" style="3" bestFit="1" customWidth="1"/>
    <col min="12034" max="12034" width="13.7109375" style="3" bestFit="1" customWidth="1"/>
    <col min="12035" max="12035" width="15.28515625" style="3" bestFit="1" customWidth="1"/>
    <col min="12036" max="12036" width="10.5703125" style="3" bestFit="1" customWidth="1"/>
    <col min="12037" max="12037" width="14.42578125" style="3" customWidth="1"/>
    <col min="12038" max="12038" width="12.5703125" style="3" bestFit="1" customWidth="1"/>
    <col min="12039" max="12039" width="14.28515625" style="3" bestFit="1" customWidth="1"/>
    <col min="12040" max="12042" width="12.5703125" style="3" bestFit="1" customWidth="1"/>
    <col min="12043" max="12051" width="0" style="3" hidden="1" customWidth="1"/>
    <col min="12052" max="12052" width="10.5703125" style="3" bestFit="1" customWidth="1"/>
    <col min="12053" max="12266" width="9.140625" style="3"/>
    <col min="12267" max="12267" width="4.28515625" style="3" customWidth="1"/>
    <col min="12268" max="12268" width="0" style="3" hidden="1" customWidth="1"/>
    <col min="12269" max="12269" width="48" style="3" customWidth="1"/>
    <col min="12270" max="12273" width="0" style="3" hidden="1" customWidth="1"/>
    <col min="12274" max="12274" width="9" style="3" customWidth="1"/>
    <col min="12275" max="12275" width="10.85546875" style="3" customWidth="1"/>
    <col min="12276" max="12276" width="10.42578125" style="3" customWidth="1"/>
    <col min="12277" max="12277" width="10.7109375" style="3" customWidth="1"/>
    <col min="12278" max="12281" width="10.5703125" style="3" bestFit="1" customWidth="1"/>
    <col min="12282" max="12282" width="11.28515625" style="3" customWidth="1"/>
    <col min="12283" max="12283" width="10.5703125" style="3" bestFit="1" customWidth="1"/>
    <col min="12284" max="12286" width="11.5703125" style="3" bestFit="1" customWidth="1"/>
    <col min="12287" max="12289" width="10.5703125" style="3" bestFit="1" customWidth="1"/>
    <col min="12290" max="12290" width="13.7109375" style="3" bestFit="1" customWidth="1"/>
    <col min="12291" max="12291" width="15.28515625" style="3" bestFit="1" customWidth="1"/>
    <col min="12292" max="12292" width="10.5703125" style="3" bestFit="1" customWidth="1"/>
    <col min="12293" max="12293" width="14.42578125" style="3" customWidth="1"/>
    <col min="12294" max="12294" width="12.5703125" style="3" bestFit="1" customWidth="1"/>
    <col min="12295" max="12295" width="14.28515625" style="3" bestFit="1" customWidth="1"/>
    <col min="12296" max="12298" width="12.5703125" style="3" bestFit="1" customWidth="1"/>
    <col min="12299" max="12307" width="0" style="3" hidden="1" customWidth="1"/>
    <col min="12308" max="12308" width="10.5703125" style="3" bestFit="1" customWidth="1"/>
    <col min="12309" max="12522" width="9.140625" style="3"/>
    <col min="12523" max="12523" width="4.28515625" style="3" customWidth="1"/>
    <col min="12524" max="12524" width="0" style="3" hidden="1" customWidth="1"/>
    <col min="12525" max="12525" width="48" style="3" customWidth="1"/>
    <col min="12526" max="12529" width="0" style="3" hidden="1" customWidth="1"/>
    <col min="12530" max="12530" width="9" style="3" customWidth="1"/>
    <col min="12531" max="12531" width="10.85546875" style="3" customWidth="1"/>
    <col min="12532" max="12532" width="10.42578125" style="3" customWidth="1"/>
    <col min="12533" max="12533" width="10.7109375" style="3" customWidth="1"/>
    <col min="12534" max="12537" width="10.5703125" style="3" bestFit="1" customWidth="1"/>
    <col min="12538" max="12538" width="11.28515625" style="3" customWidth="1"/>
    <col min="12539" max="12539" width="10.5703125" style="3" bestFit="1" customWidth="1"/>
    <col min="12540" max="12542" width="11.5703125" style="3" bestFit="1" customWidth="1"/>
    <col min="12543" max="12545" width="10.5703125" style="3" bestFit="1" customWidth="1"/>
    <col min="12546" max="12546" width="13.7109375" style="3" bestFit="1" customWidth="1"/>
    <col min="12547" max="12547" width="15.28515625" style="3" bestFit="1" customWidth="1"/>
    <col min="12548" max="12548" width="10.5703125" style="3" bestFit="1" customWidth="1"/>
    <col min="12549" max="12549" width="14.42578125" style="3" customWidth="1"/>
    <col min="12550" max="12550" width="12.5703125" style="3" bestFit="1" customWidth="1"/>
    <col min="12551" max="12551" width="14.28515625" style="3" bestFit="1" customWidth="1"/>
    <col min="12552" max="12554" width="12.5703125" style="3" bestFit="1" customWidth="1"/>
    <col min="12555" max="12563" width="0" style="3" hidden="1" customWidth="1"/>
    <col min="12564" max="12564" width="10.5703125" style="3" bestFit="1" customWidth="1"/>
    <col min="12565" max="12778" width="9.140625" style="3"/>
    <col min="12779" max="12779" width="4.28515625" style="3" customWidth="1"/>
    <col min="12780" max="12780" width="0" style="3" hidden="1" customWidth="1"/>
    <col min="12781" max="12781" width="48" style="3" customWidth="1"/>
    <col min="12782" max="12785" width="0" style="3" hidden="1" customWidth="1"/>
    <col min="12786" max="12786" width="9" style="3" customWidth="1"/>
    <col min="12787" max="12787" width="10.85546875" style="3" customWidth="1"/>
    <col min="12788" max="12788" width="10.42578125" style="3" customWidth="1"/>
    <col min="12789" max="12789" width="10.7109375" style="3" customWidth="1"/>
    <col min="12790" max="12793" width="10.5703125" style="3" bestFit="1" customWidth="1"/>
    <col min="12794" max="12794" width="11.28515625" style="3" customWidth="1"/>
    <col min="12795" max="12795" width="10.5703125" style="3" bestFit="1" customWidth="1"/>
    <col min="12796" max="12798" width="11.5703125" style="3" bestFit="1" customWidth="1"/>
    <col min="12799" max="12801" width="10.5703125" style="3" bestFit="1" customWidth="1"/>
    <col min="12802" max="12802" width="13.7109375" style="3" bestFit="1" customWidth="1"/>
    <col min="12803" max="12803" width="15.28515625" style="3" bestFit="1" customWidth="1"/>
    <col min="12804" max="12804" width="10.5703125" style="3" bestFit="1" customWidth="1"/>
    <col min="12805" max="12805" width="14.42578125" style="3" customWidth="1"/>
    <col min="12806" max="12806" width="12.5703125" style="3" bestFit="1" customWidth="1"/>
    <col min="12807" max="12807" width="14.28515625" style="3" bestFit="1" customWidth="1"/>
    <col min="12808" max="12810" width="12.5703125" style="3" bestFit="1" customWidth="1"/>
    <col min="12811" max="12819" width="0" style="3" hidden="1" customWidth="1"/>
    <col min="12820" max="12820" width="10.5703125" style="3" bestFit="1" customWidth="1"/>
    <col min="12821" max="13034" width="9.140625" style="3"/>
    <col min="13035" max="13035" width="4.28515625" style="3" customWidth="1"/>
    <col min="13036" max="13036" width="0" style="3" hidden="1" customWidth="1"/>
    <col min="13037" max="13037" width="48" style="3" customWidth="1"/>
    <col min="13038" max="13041" width="0" style="3" hidden="1" customWidth="1"/>
    <col min="13042" max="13042" width="9" style="3" customWidth="1"/>
    <col min="13043" max="13043" width="10.85546875" style="3" customWidth="1"/>
    <col min="13044" max="13044" width="10.42578125" style="3" customWidth="1"/>
    <col min="13045" max="13045" width="10.7109375" style="3" customWidth="1"/>
    <col min="13046" max="13049" width="10.5703125" style="3" bestFit="1" customWidth="1"/>
    <col min="13050" max="13050" width="11.28515625" style="3" customWidth="1"/>
    <col min="13051" max="13051" width="10.5703125" style="3" bestFit="1" customWidth="1"/>
    <col min="13052" max="13054" width="11.5703125" style="3" bestFit="1" customWidth="1"/>
    <col min="13055" max="13057" width="10.5703125" style="3" bestFit="1" customWidth="1"/>
    <col min="13058" max="13058" width="13.7109375" style="3" bestFit="1" customWidth="1"/>
    <col min="13059" max="13059" width="15.28515625" style="3" bestFit="1" customWidth="1"/>
    <col min="13060" max="13060" width="10.5703125" style="3" bestFit="1" customWidth="1"/>
    <col min="13061" max="13061" width="14.42578125" style="3" customWidth="1"/>
    <col min="13062" max="13062" width="12.5703125" style="3" bestFit="1" customWidth="1"/>
    <col min="13063" max="13063" width="14.28515625" style="3" bestFit="1" customWidth="1"/>
    <col min="13064" max="13066" width="12.5703125" style="3" bestFit="1" customWidth="1"/>
    <col min="13067" max="13075" width="0" style="3" hidden="1" customWidth="1"/>
    <col min="13076" max="13076" width="10.5703125" style="3" bestFit="1" customWidth="1"/>
    <col min="13077" max="13290" width="9.140625" style="3"/>
    <col min="13291" max="13291" width="4.28515625" style="3" customWidth="1"/>
    <col min="13292" max="13292" width="0" style="3" hidden="1" customWidth="1"/>
    <col min="13293" max="13293" width="48" style="3" customWidth="1"/>
    <col min="13294" max="13297" width="0" style="3" hidden="1" customWidth="1"/>
    <col min="13298" max="13298" width="9" style="3" customWidth="1"/>
    <col min="13299" max="13299" width="10.85546875" style="3" customWidth="1"/>
    <col min="13300" max="13300" width="10.42578125" style="3" customWidth="1"/>
    <col min="13301" max="13301" width="10.7109375" style="3" customWidth="1"/>
    <col min="13302" max="13305" width="10.5703125" style="3" bestFit="1" customWidth="1"/>
    <col min="13306" max="13306" width="11.28515625" style="3" customWidth="1"/>
    <col min="13307" max="13307" width="10.5703125" style="3" bestFit="1" customWidth="1"/>
    <col min="13308" max="13310" width="11.5703125" style="3" bestFit="1" customWidth="1"/>
    <col min="13311" max="13313" width="10.5703125" style="3" bestFit="1" customWidth="1"/>
    <col min="13314" max="13314" width="13.7109375" style="3" bestFit="1" customWidth="1"/>
    <col min="13315" max="13315" width="15.28515625" style="3" bestFit="1" customWidth="1"/>
    <col min="13316" max="13316" width="10.5703125" style="3" bestFit="1" customWidth="1"/>
    <col min="13317" max="13317" width="14.42578125" style="3" customWidth="1"/>
    <col min="13318" max="13318" width="12.5703125" style="3" bestFit="1" customWidth="1"/>
    <col min="13319" max="13319" width="14.28515625" style="3" bestFit="1" customWidth="1"/>
    <col min="13320" max="13322" width="12.5703125" style="3" bestFit="1" customWidth="1"/>
    <col min="13323" max="13331" width="0" style="3" hidden="1" customWidth="1"/>
    <col min="13332" max="13332" width="10.5703125" style="3" bestFit="1" customWidth="1"/>
    <col min="13333" max="13546" width="9.140625" style="3"/>
    <col min="13547" max="13547" width="4.28515625" style="3" customWidth="1"/>
    <col min="13548" max="13548" width="0" style="3" hidden="1" customWidth="1"/>
    <col min="13549" max="13549" width="48" style="3" customWidth="1"/>
    <col min="13550" max="13553" width="0" style="3" hidden="1" customWidth="1"/>
    <col min="13554" max="13554" width="9" style="3" customWidth="1"/>
    <col min="13555" max="13555" width="10.85546875" style="3" customWidth="1"/>
    <col min="13556" max="13556" width="10.42578125" style="3" customWidth="1"/>
    <col min="13557" max="13557" width="10.7109375" style="3" customWidth="1"/>
    <col min="13558" max="13561" width="10.5703125" style="3" bestFit="1" customWidth="1"/>
    <col min="13562" max="13562" width="11.28515625" style="3" customWidth="1"/>
    <col min="13563" max="13563" width="10.5703125" style="3" bestFit="1" customWidth="1"/>
    <col min="13564" max="13566" width="11.5703125" style="3" bestFit="1" customWidth="1"/>
    <col min="13567" max="13569" width="10.5703125" style="3" bestFit="1" customWidth="1"/>
    <col min="13570" max="13570" width="13.7109375" style="3" bestFit="1" customWidth="1"/>
    <col min="13571" max="13571" width="15.28515625" style="3" bestFit="1" customWidth="1"/>
    <col min="13572" max="13572" width="10.5703125" style="3" bestFit="1" customWidth="1"/>
    <col min="13573" max="13573" width="14.42578125" style="3" customWidth="1"/>
    <col min="13574" max="13574" width="12.5703125" style="3" bestFit="1" customWidth="1"/>
    <col min="13575" max="13575" width="14.28515625" style="3" bestFit="1" customWidth="1"/>
    <col min="13576" max="13578" width="12.5703125" style="3" bestFit="1" customWidth="1"/>
    <col min="13579" max="13587" width="0" style="3" hidden="1" customWidth="1"/>
    <col min="13588" max="13588" width="10.5703125" style="3" bestFit="1" customWidth="1"/>
    <col min="13589" max="13802" width="9.140625" style="3"/>
    <col min="13803" max="13803" width="4.28515625" style="3" customWidth="1"/>
    <col min="13804" max="13804" width="0" style="3" hidden="1" customWidth="1"/>
    <col min="13805" max="13805" width="48" style="3" customWidth="1"/>
    <col min="13806" max="13809" width="0" style="3" hidden="1" customWidth="1"/>
    <col min="13810" max="13810" width="9" style="3" customWidth="1"/>
    <col min="13811" max="13811" width="10.85546875" style="3" customWidth="1"/>
    <col min="13812" max="13812" width="10.42578125" style="3" customWidth="1"/>
    <col min="13813" max="13813" width="10.7109375" style="3" customWidth="1"/>
    <col min="13814" max="13817" width="10.5703125" style="3" bestFit="1" customWidth="1"/>
    <col min="13818" max="13818" width="11.28515625" style="3" customWidth="1"/>
    <col min="13819" max="13819" width="10.5703125" style="3" bestFit="1" customWidth="1"/>
    <col min="13820" max="13822" width="11.5703125" style="3" bestFit="1" customWidth="1"/>
    <col min="13823" max="13825" width="10.5703125" style="3" bestFit="1" customWidth="1"/>
    <col min="13826" max="13826" width="13.7109375" style="3" bestFit="1" customWidth="1"/>
    <col min="13827" max="13827" width="15.28515625" style="3" bestFit="1" customWidth="1"/>
    <col min="13828" max="13828" width="10.5703125" style="3" bestFit="1" customWidth="1"/>
    <col min="13829" max="13829" width="14.42578125" style="3" customWidth="1"/>
    <col min="13830" max="13830" width="12.5703125" style="3" bestFit="1" customWidth="1"/>
    <col min="13831" max="13831" width="14.28515625" style="3" bestFit="1" customWidth="1"/>
    <col min="13832" max="13834" width="12.5703125" style="3" bestFit="1" customWidth="1"/>
    <col min="13835" max="13843" width="0" style="3" hidden="1" customWidth="1"/>
    <col min="13844" max="13844" width="10.5703125" style="3" bestFit="1" customWidth="1"/>
    <col min="13845" max="14058" width="9.140625" style="3"/>
    <col min="14059" max="14059" width="4.28515625" style="3" customWidth="1"/>
    <col min="14060" max="14060" width="0" style="3" hidden="1" customWidth="1"/>
    <col min="14061" max="14061" width="48" style="3" customWidth="1"/>
    <col min="14062" max="14065" width="0" style="3" hidden="1" customWidth="1"/>
    <col min="14066" max="14066" width="9" style="3" customWidth="1"/>
    <col min="14067" max="14067" width="10.85546875" style="3" customWidth="1"/>
    <col min="14068" max="14068" width="10.42578125" style="3" customWidth="1"/>
    <col min="14069" max="14069" width="10.7109375" style="3" customWidth="1"/>
    <col min="14070" max="14073" width="10.5703125" style="3" bestFit="1" customWidth="1"/>
    <col min="14074" max="14074" width="11.28515625" style="3" customWidth="1"/>
    <col min="14075" max="14075" width="10.5703125" style="3" bestFit="1" customWidth="1"/>
    <col min="14076" max="14078" width="11.5703125" style="3" bestFit="1" customWidth="1"/>
    <col min="14079" max="14081" width="10.5703125" style="3" bestFit="1" customWidth="1"/>
    <col min="14082" max="14082" width="13.7109375" style="3" bestFit="1" customWidth="1"/>
    <col min="14083" max="14083" width="15.28515625" style="3" bestFit="1" customWidth="1"/>
    <col min="14084" max="14084" width="10.5703125" style="3" bestFit="1" customWidth="1"/>
    <col min="14085" max="14085" width="14.42578125" style="3" customWidth="1"/>
    <col min="14086" max="14086" width="12.5703125" style="3" bestFit="1" customWidth="1"/>
    <col min="14087" max="14087" width="14.28515625" style="3" bestFit="1" customWidth="1"/>
    <col min="14088" max="14090" width="12.5703125" style="3" bestFit="1" customWidth="1"/>
    <col min="14091" max="14099" width="0" style="3" hidden="1" customWidth="1"/>
    <col min="14100" max="14100" width="10.5703125" style="3" bestFit="1" customWidth="1"/>
    <col min="14101" max="14314" width="9.140625" style="3"/>
    <col min="14315" max="14315" width="4.28515625" style="3" customWidth="1"/>
    <col min="14316" max="14316" width="0" style="3" hidden="1" customWidth="1"/>
    <col min="14317" max="14317" width="48" style="3" customWidth="1"/>
    <col min="14318" max="14321" width="0" style="3" hidden="1" customWidth="1"/>
    <col min="14322" max="14322" width="9" style="3" customWidth="1"/>
    <col min="14323" max="14323" width="10.85546875" style="3" customWidth="1"/>
    <col min="14324" max="14324" width="10.42578125" style="3" customWidth="1"/>
    <col min="14325" max="14325" width="10.7109375" style="3" customWidth="1"/>
    <col min="14326" max="14329" width="10.5703125" style="3" bestFit="1" customWidth="1"/>
    <col min="14330" max="14330" width="11.28515625" style="3" customWidth="1"/>
    <col min="14331" max="14331" width="10.5703125" style="3" bestFit="1" customWidth="1"/>
    <col min="14332" max="14334" width="11.5703125" style="3" bestFit="1" customWidth="1"/>
    <col min="14335" max="14337" width="10.5703125" style="3" bestFit="1" customWidth="1"/>
    <col min="14338" max="14338" width="13.7109375" style="3" bestFit="1" customWidth="1"/>
    <col min="14339" max="14339" width="15.28515625" style="3" bestFit="1" customWidth="1"/>
    <col min="14340" max="14340" width="10.5703125" style="3" bestFit="1" customWidth="1"/>
    <col min="14341" max="14341" width="14.42578125" style="3" customWidth="1"/>
    <col min="14342" max="14342" width="12.5703125" style="3" bestFit="1" customWidth="1"/>
    <col min="14343" max="14343" width="14.28515625" style="3" bestFit="1" customWidth="1"/>
    <col min="14344" max="14346" width="12.5703125" style="3" bestFit="1" customWidth="1"/>
    <col min="14347" max="14355" width="0" style="3" hidden="1" customWidth="1"/>
    <col min="14356" max="14356" width="10.5703125" style="3" bestFit="1" customWidth="1"/>
    <col min="14357" max="14570" width="9.140625" style="3"/>
    <col min="14571" max="14571" width="4.28515625" style="3" customWidth="1"/>
    <col min="14572" max="14572" width="0" style="3" hidden="1" customWidth="1"/>
    <col min="14573" max="14573" width="48" style="3" customWidth="1"/>
    <col min="14574" max="14577" width="0" style="3" hidden="1" customWidth="1"/>
    <col min="14578" max="14578" width="9" style="3" customWidth="1"/>
    <col min="14579" max="14579" width="10.85546875" style="3" customWidth="1"/>
    <col min="14580" max="14580" width="10.42578125" style="3" customWidth="1"/>
    <col min="14581" max="14581" width="10.7109375" style="3" customWidth="1"/>
    <col min="14582" max="14585" width="10.5703125" style="3" bestFit="1" customWidth="1"/>
    <col min="14586" max="14586" width="11.28515625" style="3" customWidth="1"/>
    <col min="14587" max="14587" width="10.5703125" style="3" bestFit="1" customWidth="1"/>
    <col min="14588" max="14590" width="11.5703125" style="3" bestFit="1" customWidth="1"/>
    <col min="14591" max="14593" width="10.5703125" style="3" bestFit="1" customWidth="1"/>
    <col min="14594" max="14594" width="13.7109375" style="3" bestFit="1" customWidth="1"/>
    <col min="14595" max="14595" width="15.28515625" style="3" bestFit="1" customWidth="1"/>
    <col min="14596" max="14596" width="10.5703125" style="3" bestFit="1" customWidth="1"/>
    <col min="14597" max="14597" width="14.42578125" style="3" customWidth="1"/>
    <col min="14598" max="14598" width="12.5703125" style="3" bestFit="1" customWidth="1"/>
    <col min="14599" max="14599" width="14.28515625" style="3" bestFit="1" customWidth="1"/>
    <col min="14600" max="14602" width="12.5703125" style="3" bestFit="1" customWidth="1"/>
    <col min="14603" max="14611" width="0" style="3" hidden="1" customWidth="1"/>
    <col min="14612" max="14612" width="10.5703125" style="3" bestFit="1" customWidth="1"/>
    <col min="14613" max="14826" width="9.140625" style="3"/>
    <col min="14827" max="14827" width="4.28515625" style="3" customWidth="1"/>
    <col min="14828" max="14828" width="0" style="3" hidden="1" customWidth="1"/>
    <col min="14829" max="14829" width="48" style="3" customWidth="1"/>
    <col min="14830" max="14833" width="0" style="3" hidden="1" customWidth="1"/>
    <col min="14834" max="14834" width="9" style="3" customWidth="1"/>
    <col min="14835" max="14835" width="10.85546875" style="3" customWidth="1"/>
    <col min="14836" max="14836" width="10.42578125" style="3" customWidth="1"/>
    <col min="14837" max="14837" width="10.7109375" style="3" customWidth="1"/>
    <col min="14838" max="14841" width="10.5703125" style="3" bestFit="1" customWidth="1"/>
    <col min="14842" max="14842" width="11.28515625" style="3" customWidth="1"/>
    <col min="14843" max="14843" width="10.5703125" style="3" bestFit="1" customWidth="1"/>
    <col min="14844" max="14846" width="11.5703125" style="3" bestFit="1" customWidth="1"/>
    <col min="14847" max="14849" width="10.5703125" style="3" bestFit="1" customWidth="1"/>
    <col min="14850" max="14850" width="13.7109375" style="3" bestFit="1" customWidth="1"/>
    <col min="14851" max="14851" width="15.28515625" style="3" bestFit="1" customWidth="1"/>
    <col min="14852" max="14852" width="10.5703125" style="3" bestFit="1" customWidth="1"/>
    <col min="14853" max="14853" width="14.42578125" style="3" customWidth="1"/>
    <col min="14854" max="14854" width="12.5703125" style="3" bestFit="1" customWidth="1"/>
    <col min="14855" max="14855" width="14.28515625" style="3" bestFit="1" customWidth="1"/>
    <col min="14856" max="14858" width="12.5703125" style="3" bestFit="1" customWidth="1"/>
    <col min="14859" max="14867" width="0" style="3" hidden="1" customWidth="1"/>
    <col min="14868" max="14868" width="10.5703125" style="3" bestFit="1" customWidth="1"/>
    <col min="14869" max="15082" width="9.140625" style="3"/>
    <col min="15083" max="15083" width="4.28515625" style="3" customWidth="1"/>
    <col min="15084" max="15084" width="0" style="3" hidden="1" customWidth="1"/>
    <col min="15085" max="15085" width="48" style="3" customWidth="1"/>
    <col min="15086" max="15089" width="0" style="3" hidden="1" customWidth="1"/>
    <col min="15090" max="15090" width="9" style="3" customWidth="1"/>
    <col min="15091" max="15091" width="10.85546875" style="3" customWidth="1"/>
    <col min="15092" max="15092" width="10.42578125" style="3" customWidth="1"/>
    <col min="15093" max="15093" width="10.7109375" style="3" customWidth="1"/>
    <col min="15094" max="15097" width="10.5703125" style="3" bestFit="1" customWidth="1"/>
    <col min="15098" max="15098" width="11.28515625" style="3" customWidth="1"/>
    <col min="15099" max="15099" width="10.5703125" style="3" bestFit="1" customWidth="1"/>
    <col min="15100" max="15102" width="11.5703125" style="3" bestFit="1" customWidth="1"/>
    <col min="15103" max="15105" width="10.5703125" style="3" bestFit="1" customWidth="1"/>
    <col min="15106" max="15106" width="13.7109375" style="3" bestFit="1" customWidth="1"/>
    <col min="15107" max="15107" width="15.28515625" style="3" bestFit="1" customWidth="1"/>
    <col min="15108" max="15108" width="10.5703125" style="3" bestFit="1" customWidth="1"/>
    <col min="15109" max="15109" width="14.42578125" style="3" customWidth="1"/>
    <col min="15110" max="15110" width="12.5703125" style="3" bestFit="1" customWidth="1"/>
    <col min="15111" max="15111" width="14.28515625" style="3" bestFit="1" customWidth="1"/>
    <col min="15112" max="15114" width="12.5703125" style="3" bestFit="1" customWidth="1"/>
    <col min="15115" max="15123" width="0" style="3" hidden="1" customWidth="1"/>
    <col min="15124" max="15124" width="10.5703125" style="3" bestFit="1" customWidth="1"/>
    <col min="15125" max="15338" width="9.140625" style="3"/>
    <col min="15339" max="15339" width="4.28515625" style="3" customWidth="1"/>
    <col min="15340" max="15340" width="0" style="3" hidden="1" customWidth="1"/>
    <col min="15341" max="15341" width="48" style="3" customWidth="1"/>
    <col min="15342" max="15345" width="0" style="3" hidden="1" customWidth="1"/>
    <col min="15346" max="15346" width="9" style="3" customWidth="1"/>
    <col min="15347" max="15347" width="10.85546875" style="3" customWidth="1"/>
    <col min="15348" max="15348" width="10.42578125" style="3" customWidth="1"/>
    <col min="15349" max="15349" width="10.7109375" style="3" customWidth="1"/>
    <col min="15350" max="15353" width="10.5703125" style="3" bestFit="1" customWidth="1"/>
    <col min="15354" max="15354" width="11.28515625" style="3" customWidth="1"/>
    <col min="15355" max="15355" width="10.5703125" style="3" bestFit="1" customWidth="1"/>
    <col min="15356" max="15358" width="11.5703125" style="3" bestFit="1" customWidth="1"/>
    <col min="15359" max="15361" width="10.5703125" style="3" bestFit="1" customWidth="1"/>
    <col min="15362" max="15362" width="13.7109375" style="3" bestFit="1" customWidth="1"/>
    <col min="15363" max="15363" width="15.28515625" style="3" bestFit="1" customWidth="1"/>
    <col min="15364" max="15364" width="10.5703125" style="3" bestFit="1" customWidth="1"/>
    <col min="15365" max="15365" width="14.42578125" style="3" customWidth="1"/>
    <col min="15366" max="15366" width="12.5703125" style="3" bestFit="1" customWidth="1"/>
    <col min="15367" max="15367" width="14.28515625" style="3" bestFit="1" customWidth="1"/>
    <col min="15368" max="15370" width="12.5703125" style="3" bestFit="1" customWidth="1"/>
    <col min="15371" max="15379" width="0" style="3" hidden="1" customWidth="1"/>
    <col min="15380" max="15380" width="10.5703125" style="3" bestFit="1" customWidth="1"/>
    <col min="15381" max="15594" width="9.140625" style="3"/>
    <col min="15595" max="15595" width="4.28515625" style="3" customWidth="1"/>
    <col min="15596" max="15596" width="0" style="3" hidden="1" customWidth="1"/>
    <col min="15597" max="15597" width="48" style="3" customWidth="1"/>
    <col min="15598" max="15601" width="0" style="3" hidden="1" customWidth="1"/>
    <col min="15602" max="15602" width="9" style="3" customWidth="1"/>
    <col min="15603" max="15603" width="10.85546875" style="3" customWidth="1"/>
    <col min="15604" max="15604" width="10.42578125" style="3" customWidth="1"/>
    <col min="15605" max="15605" width="10.7109375" style="3" customWidth="1"/>
    <col min="15606" max="15609" width="10.5703125" style="3" bestFit="1" customWidth="1"/>
    <col min="15610" max="15610" width="11.28515625" style="3" customWidth="1"/>
    <col min="15611" max="15611" width="10.5703125" style="3" bestFit="1" customWidth="1"/>
    <col min="15612" max="15614" width="11.5703125" style="3" bestFit="1" customWidth="1"/>
    <col min="15615" max="15617" width="10.5703125" style="3" bestFit="1" customWidth="1"/>
    <col min="15618" max="15618" width="13.7109375" style="3" bestFit="1" customWidth="1"/>
    <col min="15619" max="15619" width="15.28515625" style="3" bestFit="1" customWidth="1"/>
    <col min="15620" max="15620" width="10.5703125" style="3" bestFit="1" customWidth="1"/>
    <col min="15621" max="15621" width="14.42578125" style="3" customWidth="1"/>
    <col min="15622" max="15622" width="12.5703125" style="3" bestFit="1" customWidth="1"/>
    <col min="15623" max="15623" width="14.28515625" style="3" bestFit="1" customWidth="1"/>
    <col min="15624" max="15626" width="12.5703125" style="3" bestFit="1" customWidth="1"/>
    <col min="15627" max="15635" width="0" style="3" hidden="1" customWidth="1"/>
    <col min="15636" max="15636" width="10.5703125" style="3" bestFit="1" customWidth="1"/>
    <col min="15637" max="15850" width="9.140625" style="3"/>
    <col min="15851" max="15851" width="4.28515625" style="3" customWidth="1"/>
    <col min="15852" max="15852" width="0" style="3" hidden="1" customWidth="1"/>
    <col min="15853" max="15853" width="48" style="3" customWidth="1"/>
    <col min="15854" max="15857" width="0" style="3" hidden="1" customWidth="1"/>
    <col min="15858" max="15858" width="9" style="3" customWidth="1"/>
    <col min="15859" max="15859" width="10.85546875" style="3" customWidth="1"/>
    <col min="15860" max="15860" width="10.42578125" style="3" customWidth="1"/>
    <col min="15861" max="15861" width="10.7109375" style="3" customWidth="1"/>
    <col min="15862" max="15865" width="10.5703125" style="3" bestFit="1" customWidth="1"/>
    <col min="15866" max="15866" width="11.28515625" style="3" customWidth="1"/>
    <col min="15867" max="15867" width="10.5703125" style="3" bestFit="1" customWidth="1"/>
    <col min="15868" max="15870" width="11.5703125" style="3" bestFit="1" customWidth="1"/>
    <col min="15871" max="15873" width="10.5703125" style="3" bestFit="1" customWidth="1"/>
    <col min="15874" max="15874" width="13.7109375" style="3" bestFit="1" customWidth="1"/>
    <col min="15875" max="15875" width="15.28515625" style="3" bestFit="1" customWidth="1"/>
    <col min="15876" max="15876" width="10.5703125" style="3" bestFit="1" customWidth="1"/>
    <col min="15877" max="15877" width="14.42578125" style="3" customWidth="1"/>
    <col min="15878" max="15878" width="12.5703125" style="3" bestFit="1" customWidth="1"/>
    <col min="15879" max="15879" width="14.28515625" style="3" bestFit="1" customWidth="1"/>
    <col min="15880" max="15882" width="12.5703125" style="3" bestFit="1" customWidth="1"/>
    <col min="15883" max="15891" width="0" style="3" hidden="1" customWidth="1"/>
    <col min="15892" max="15892" width="10.5703125" style="3" bestFit="1" customWidth="1"/>
    <col min="15893" max="16106" width="9.140625" style="3"/>
    <col min="16107" max="16107" width="4.28515625" style="3" customWidth="1"/>
    <col min="16108" max="16108" width="0" style="3" hidden="1" customWidth="1"/>
    <col min="16109" max="16109" width="48" style="3" customWidth="1"/>
    <col min="16110" max="16113" width="0" style="3" hidden="1" customWidth="1"/>
    <col min="16114" max="16114" width="9" style="3" customWidth="1"/>
    <col min="16115" max="16115" width="10.85546875" style="3" customWidth="1"/>
    <col min="16116" max="16116" width="10.42578125" style="3" customWidth="1"/>
    <col min="16117" max="16117" width="10.7109375" style="3" customWidth="1"/>
    <col min="16118" max="16121" width="10.5703125" style="3" bestFit="1" customWidth="1"/>
    <col min="16122" max="16122" width="11.28515625" style="3" customWidth="1"/>
    <col min="16123" max="16123" width="10.5703125" style="3" bestFit="1" customWidth="1"/>
    <col min="16124" max="16126" width="11.5703125" style="3" bestFit="1" customWidth="1"/>
    <col min="16127" max="16129" width="10.5703125" style="3" bestFit="1" customWidth="1"/>
    <col min="16130" max="16130" width="13.7109375" style="3" bestFit="1" customWidth="1"/>
    <col min="16131" max="16131" width="15.28515625" style="3" bestFit="1" customWidth="1"/>
    <col min="16132" max="16132" width="10.5703125" style="3" bestFit="1" customWidth="1"/>
    <col min="16133" max="16133" width="14.42578125" style="3" customWidth="1"/>
    <col min="16134" max="16134" width="12.5703125" style="3" bestFit="1" customWidth="1"/>
    <col min="16135" max="16135" width="14.28515625" style="3" bestFit="1" customWidth="1"/>
    <col min="16136" max="16138" width="12.5703125" style="3" bestFit="1" customWidth="1"/>
    <col min="16139" max="16147" width="0" style="3" hidden="1" customWidth="1"/>
    <col min="16148" max="16148" width="10.5703125" style="3" bestFit="1" customWidth="1"/>
    <col min="16149" max="16384" width="9.140625" style="3"/>
  </cols>
  <sheetData>
    <row r="1" spans="1:24" ht="27" customHeight="1">
      <c r="C1" s="224" t="s">
        <v>0</v>
      </c>
      <c r="D1" s="224"/>
      <c r="E1" s="224"/>
      <c r="F1" s="224"/>
      <c r="G1" s="224"/>
      <c r="H1" s="224"/>
      <c r="I1" s="224"/>
      <c r="J1" s="224"/>
      <c r="K1" s="224"/>
      <c r="L1" s="224"/>
      <c r="M1" s="224"/>
      <c r="P1" s="4"/>
      <c r="Q1" s="4"/>
      <c r="R1" s="4"/>
    </row>
    <row r="2" spans="1:24" ht="13.5" thickBot="1">
      <c r="B2" s="5"/>
      <c r="C2" s="5"/>
      <c r="F2" s="7"/>
      <c r="G2" s="7"/>
    </row>
    <row r="3" spans="1:24">
      <c r="A3" s="8">
        <v>1</v>
      </c>
      <c r="B3" s="9" t="s">
        <v>1</v>
      </c>
      <c r="C3" s="10" t="s">
        <v>2</v>
      </c>
      <c r="D3" s="11">
        <v>2012</v>
      </c>
      <c r="E3" s="12" t="s">
        <v>3</v>
      </c>
      <c r="F3" s="13">
        <v>2013</v>
      </c>
      <c r="G3" s="13">
        <f>F3+1</f>
        <v>2014</v>
      </c>
      <c r="H3" s="14">
        <v>2016</v>
      </c>
      <c r="I3" s="11">
        <f>H3+1</f>
        <v>2017</v>
      </c>
      <c r="J3" s="15">
        <f t="shared" ref="J3:X3" si="0">I3+1</f>
        <v>2018</v>
      </c>
      <c r="K3" s="11">
        <f t="shared" si="0"/>
        <v>2019</v>
      </c>
      <c r="L3" s="15">
        <f t="shared" si="0"/>
        <v>2020</v>
      </c>
      <c r="M3" s="11">
        <f t="shared" si="0"/>
        <v>2021</v>
      </c>
      <c r="N3" s="15">
        <f t="shared" si="0"/>
        <v>2022</v>
      </c>
      <c r="O3" s="11">
        <f t="shared" si="0"/>
        <v>2023</v>
      </c>
      <c r="P3" s="15">
        <f t="shared" si="0"/>
        <v>2024</v>
      </c>
      <c r="Q3" s="11">
        <f t="shared" si="0"/>
        <v>2025</v>
      </c>
      <c r="R3" s="16">
        <f t="shared" si="0"/>
        <v>2026</v>
      </c>
      <c r="S3" s="17">
        <f t="shared" si="0"/>
        <v>2027</v>
      </c>
      <c r="T3" s="13">
        <f t="shared" si="0"/>
        <v>2028</v>
      </c>
      <c r="U3" s="13">
        <f t="shared" si="0"/>
        <v>2029</v>
      </c>
      <c r="V3" s="13">
        <f t="shared" si="0"/>
        <v>2030</v>
      </c>
      <c r="W3" s="13">
        <f t="shared" si="0"/>
        <v>2031</v>
      </c>
      <c r="X3" s="13">
        <f t="shared" si="0"/>
        <v>2032</v>
      </c>
    </row>
    <row r="4" spans="1:24">
      <c r="A4" s="18"/>
      <c r="B4" s="19" t="s">
        <v>4</v>
      </c>
      <c r="C4" s="20" t="s">
        <v>5</v>
      </c>
      <c r="D4" s="21"/>
      <c r="E4" s="21"/>
      <c r="F4" s="21"/>
      <c r="G4" s="21"/>
      <c r="H4" s="22">
        <f t="shared" ref="H4:J4" si="1">H5+H7+H6</f>
        <v>263663.89</v>
      </c>
      <c r="I4" s="23">
        <f t="shared" si="1"/>
        <v>883132.99</v>
      </c>
      <c r="J4" s="24">
        <f t="shared" si="1"/>
        <v>1080445.3500000001</v>
      </c>
      <c r="K4" s="23">
        <f>K5+K7+K6</f>
        <v>1558208.15</v>
      </c>
      <c r="L4" s="24">
        <f t="shared" ref="L4:S4" si="2">L5+L7+L6</f>
        <v>1920654.6945</v>
      </c>
      <c r="M4" s="23">
        <f t="shared" si="2"/>
        <v>2025691.885335</v>
      </c>
      <c r="N4" s="24">
        <f t="shared" si="2"/>
        <v>2107206.5693950499</v>
      </c>
      <c r="O4" s="23">
        <f t="shared" si="2"/>
        <v>2201693.3403519015</v>
      </c>
      <c r="P4" s="24">
        <f t="shared" si="2"/>
        <v>2300608.2431312087</v>
      </c>
      <c r="Q4" s="23">
        <f t="shared" si="2"/>
        <v>2404163.7981223329</v>
      </c>
      <c r="R4" s="25">
        <f t="shared" si="2"/>
        <v>2512582.8851480498</v>
      </c>
      <c r="S4" s="26">
        <f t="shared" si="2"/>
        <v>2626099.2534386409</v>
      </c>
      <c r="T4" s="21">
        <f t="shared" ref="T4:X4" si="3">SUM(T5:T10)</f>
        <v>2414588.9964740011</v>
      </c>
      <c r="U4" s="21">
        <f t="shared" si="3"/>
        <v>2414588.9964740011</v>
      </c>
      <c r="V4" s="21">
        <f t="shared" si="3"/>
        <v>2414588.9964740011</v>
      </c>
      <c r="W4" s="21">
        <f t="shared" si="3"/>
        <v>2414588.9964740011</v>
      </c>
      <c r="X4" s="21">
        <f t="shared" si="3"/>
        <v>2414588.9964740011</v>
      </c>
    </row>
    <row r="5" spans="1:24">
      <c r="A5" s="18"/>
      <c r="B5" s="19"/>
      <c r="C5" s="27" t="str">
        <f>'[2]CF SUSA'!C7</f>
        <v xml:space="preserve"> - venituri din lucrari exec si serv prestate</v>
      </c>
      <c r="D5" s="28"/>
      <c r="E5" s="29"/>
      <c r="F5" s="30"/>
      <c r="G5" s="30"/>
      <c r="H5" s="31">
        <f>'[2]CF SUSA'!D7</f>
        <v>191151.62</v>
      </c>
      <c r="I5" s="28">
        <f>'[2]CF SUSA'!F7</f>
        <v>732951.49</v>
      </c>
      <c r="J5" s="32">
        <f>'[2]CF SUSA'!H7</f>
        <v>920222.38</v>
      </c>
      <c r="K5" s="28">
        <f>'[2]CF SUSA'!V7</f>
        <v>1371240</v>
      </c>
      <c r="L5" s="32">
        <f>'[2]CF SUSA'!W7</f>
        <v>1728677.5</v>
      </c>
      <c r="M5" s="28">
        <f>'[2]CF SUSA'!X7</f>
        <v>1828555.375</v>
      </c>
      <c r="N5" s="32">
        <f>'[2]CF SUSA'!Y7</f>
        <v>1904755.9637499999</v>
      </c>
      <c r="O5" s="28">
        <f>'[2]CF SUSA'!Z7</f>
        <v>1993769.2165375</v>
      </c>
      <c r="P5" s="32">
        <f>'[2]CF SUSA'!AA7</f>
        <v>2087046.395602375</v>
      </c>
      <c r="Q5" s="28">
        <f>'[2]CF SUSA'!AB7</f>
        <v>2184795.0951676341</v>
      </c>
      <c r="R5" s="33">
        <f>'[2]CF SUSA'!AC7</f>
        <v>2287233.1211047103</v>
      </c>
      <c r="S5" s="33">
        <f>'[2]CF SUSA'!AD7</f>
        <v>2394588.9964740011</v>
      </c>
      <c r="T5" s="34">
        <f t="shared" ref="T5:X5" si="4">S5</f>
        <v>2394588.9964740011</v>
      </c>
      <c r="U5" s="34">
        <f t="shared" si="4"/>
        <v>2394588.9964740011</v>
      </c>
      <c r="V5" s="34">
        <f t="shared" si="4"/>
        <v>2394588.9964740011</v>
      </c>
      <c r="W5" s="34">
        <f t="shared" si="4"/>
        <v>2394588.9964740011</v>
      </c>
      <c r="X5" s="34">
        <f t="shared" si="4"/>
        <v>2394588.9964740011</v>
      </c>
    </row>
    <row r="6" spans="1:24">
      <c r="A6" s="18"/>
      <c r="B6" s="19"/>
      <c r="C6" s="27" t="str">
        <f>'[2]CF SUSA'!C11</f>
        <v xml:space="preserve"> - venituri din redevente, locatii de gestiuni</v>
      </c>
      <c r="D6" s="28"/>
      <c r="E6" s="29"/>
      <c r="F6" s="30"/>
      <c r="G6" s="30"/>
      <c r="H6" s="31">
        <f>'[2]CF SUSA'!D11</f>
        <v>61700.98</v>
      </c>
      <c r="I6" s="28">
        <f>'[2]CF SUSA'!F11</f>
        <v>150181.5</v>
      </c>
      <c r="J6" s="32">
        <f>'[2]CF SUSA'!H11</f>
        <v>156045</v>
      </c>
      <c r="K6" s="28">
        <f>'[2]CF SUSA'!V11</f>
        <v>166968.15000000002</v>
      </c>
      <c r="L6" s="28">
        <f>'[2]CF SUSA'!W11</f>
        <v>171977.19450000004</v>
      </c>
      <c r="M6" s="28">
        <f>'[2]CF SUSA'!X11</f>
        <v>177136.51033500006</v>
      </c>
      <c r="N6" s="28">
        <f>'[2]CF SUSA'!Y11</f>
        <v>182450.60564505006</v>
      </c>
      <c r="O6" s="28">
        <f>'[2]CF SUSA'!Z11</f>
        <v>187924.12381440157</v>
      </c>
      <c r="P6" s="28">
        <f>'[2]CF SUSA'!AA11</f>
        <v>193561.8475288336</v>
      </c>
      <c r="Q6" s="28">
        <f>'[2]CF SUSA'!AB11</f>
        <v>199368.70295469862</v>
      </c>
      <c r="R6" s="28">
        <f>'[2]CF SUSA'!AC11</f>
        <v>205349.76404333959</v>
      </c>
      <c r="S6" s="28">
        <f>'[2]CF SUSA'!AD11</f>
        <v>211510.25696463979</v>
      </c>
      <c r="T6" s="34"/>
      <c r="U6" s="34"/>
      <c r="V6" s="34"/>
      <c r="W6" s="34"/>
      <c r="X6" s="34"/>
    </row>
    <row r="7" spans="1:24">
      <c r="A7" s="18"/>
      <c r="B7" s="19"/>
      <c r="C7" s="27" t="str">
        <f>'[2]CF SUSA'!C12</f>
        <v xml:space="preserve"> - alte venituri din exploatare</v>
      </c>
      <c r="D7" s="28"/>
      <c r="E7" s="29"/>
      <c r="F7" s="30"/>
      <c r="G7" s="30"/>
      <c r="H7" s="31">
        <f>'[2]CF SUSA'!D12</f>
        <v>10811.29</v>
      </c>
      <c r="I7" s="28">
        <v>0</v>
      </c>
      <c r="J7" s="32">
        <f>'[2]CF SUSA'!H12</f>
        <v>4177.97</v>
      </c>
      <c r="K7" s="28">
        <f>'[2]CF SUSA'!V12</f>
        <v>20000</v>
      </c>
      <c r="L7" s="28">
        <f>'[2]CF SUSA'!W12</f>
        <v>20000</v>
      </c>
      <c r="M7" s="28">
        <f>'[2]CF SUSA'!X12</f>
        <v>20000</v>
      </c>
      <c r="N7" s="28">
        <f>'[2]CF SUSA'!Y12</f>
        <v>20000</v>
      </c>
      <c r="O7" s="28">
        <f>'[2]CF SUSA'!Z12</f>
        <v>20000</v>
      </c>
      <c r="P7" s="28">
        <f>'[2]CF SUSA'!AA12</f>
        <v>20000</v>
      </c>
      <c r="Q7" s="28">
        <f>'[2]CF SUSA'!AB12</f>
        <v>20000</v>
      </c>
      <c r="R7" s="28">
        <f>'[2]CF SUSA'!AC12</f>
        <v>20000</v>
      </c>
      <c r="S7" s="28">
        <f>'[2]CF SUSA'!AD12</f>
        <v>20000</v>
      </c>
      <c r="T7" s="34">
        <f t="shared" ref="T7:X7" si="5">S7</f>
        <v>20000</v>
      </c>
      <c r="U7" s="34">
        <f t="shared" si="5"/>
        <v>20000</v>
      </c>
      <c r="V7" s="34">
        <f t="shared" si="5"/>
        <v>20000</v>
      </c>
      <c r="W7" s="34">
        <f t="shared" si="5"/>
        <v>20000</v>
      </c>
      <c r="X7" s="34">
        <f t="shared" si="5"/>
        <v>20000</v>
      </c>
    </row>
    <row r="8" spans="1:24" hidden="1">
      <c r="A8" s="18"/>
      <c r="B8" s="19"/>
      <c r="C8" s="27" t="str">
        <f>'[2]CF SUSA'!C13</f>
        <v>% crestere CA</v>
      </c>
      <c r="D8" s="28"/>
      <c r="E8" s="29"/>
      <c r="F8" s="30"/>
      <c r="G8" s="30"/>
      <c r="H8" s="31"/>
      <c r="I8" s="28"/>
      <c r="J8" s="32"/>
      <c r="K8" s="28"/>
      <c r="L8" s="32"/>
      <c r="M8" s="28"/>
      <c r="N8" s="32"/>
      <c r="O8" s="28"/>
      <c r="P8" s="32"/>
      <c r="Q8" s="28"/>
      <c r="R8" s="33"/>
      <c r="S8" s="33"/>
      <c r="T8" s="34"/>
      <c r="U8" s="34"/>
      <c r="V8" s="34"/>
      <c r="W8" s="34"/>
      <c r="X8" s="34"/>
    </row>
    <row r="9" spans="1:24" hidden="1">
      <c r="A9" s="18"/>
      <c r="B9" s="19"/>
      <c r="C9" s="27" t="str">
        <f>'[2]CF SUSA'!C14</f>
        <v>Cheltuieli materii prime si materiale</v>
      </c>
      <c r="D9" s="28"/>
      <c r="E9" s="29"/>
      <c r="F9" s="30"/>
      <c r="G9" s="30"/>
      <c r="H9" s="35"/>
      <c r="I9" s="28"/>
      <c r="J9" s="32"/>
      <c r="K9" s="28"/>
      <c r="L9" s="32"/>
      <c r="M9" s="28"/>
      <c r="N9" s="32"/>
      <c r="O9" s="28"/>
      <c r="P9" s="32"/>
      <c r="Q9" s="28"/>
      <c r="R9" s="33"/>
      <c r="S9" s="33"/>
      <c r="T9" s="34"/>
      <c r="U9" s="34"/>
      <c r="V9" s="34"/>
      <c r="W9" s="34"/>
      <c r="X9" s="34"/>
    </row>
    <row r="10" spans="1:24" ht="25.5" hidden="1">
      <c r="A10" s="18"/>
      <c r="B10" s="19"/>
      <c r="C10" s="27" t="str">
        <f>'[2]CF SUSA'!C15</f>
        <v>Ch materiale consumabile (602,603,604,606,608)</v>
      </c>
      <c r="D10" s="28"/>
      <c r="E10" s="29"/>
      <c r="F10" s="30"/>
      <c r="G10" s="30"/>
      <c r="H10" s="36" t="e">
        <f>SUM(#REF!)</f>
        <v>#REF!</v>
      </c>
      <c r="I10" s="28"/>
      <c r="J10" s="32"/>
      <c r="K10" s="28"/>
      <c r="L10" s="32"/>
      <c r="M10" s="28"/>
      <c r="N10" s="32"/>
      <c r="O10" s="28"/>
      <c r="P10" s="32"/>
      <c r="Q10" s="28"/>
      <c r="R10" s="33"/>
      <c r="S10" s="33"/>
      <c r="T10" s="34"/>
      <c r="U10" s="34"/>
      <c r="V10" s="34"/>
      <c r="W10" s="34"/>
      <c r="X10" s="34"/>
    </row>
    <row r="11" spans="1:24">
      <c r="A11" s="18"/>
      <c r="B11" s="37" t="s">
        <v>6</v>
      </c>
      <c r="C11" s="38" t="s">
        <v>7</v>
      </c>
      <c r="D11" s="39"/>
      <c r="E11" s="40"/>
      <c r="F11" s="41"/>
      <c r="G11" s="42"/>
      <c r="H11" s="43"/>
      <c r="I11" s="44"/>
      <c r="J11" s="45"/>
      <c r="K11" s="44"/>
      <c r="L11" s="45"/>
      <c r="M11" s="44"/>
      <c r="N11" s="45"/>
      <c r="O11" s="44"/>
      <c r="P11" s="45"/>
      <c r="Q11" s="44"/>
      <c r="R11" s="46"/>
      <c r="S11" s="46"/>
      <c r="T11" s="47"/>
      <c r="U11" s="47"/>
      <c r="V11" s="47"/>
      <c r="W11" s="47"/>
      <c r="X11" s="47"/>
    </row>
    <row r="12" spans="1:24">
      <c r="A12" s="48" t="s">
        <v>8</v>
      </c>
      <c r="B12" s="49" t="s">
        <v>9</v>
      </c>
      <c r="C12" s="20" t="s">
        <v>10</v>
      </c>
      <c r="D12" s="50"/>
      <c r="E12" s="50"/>
      <c r="F12" s="50"/>
      <c r="G12" s="50"/>
      <c r="H12" s="51">
        <f>SUM(H13:H17)</f>
        <v>-5656.2199999999993</v>
      </c>
      <c r="I12" s="52">
        <f t="shared" ref="I12:X12" si="6">SUM(I13:I17)</f>
        <v>-166924.95000000001</v>
      </c>
      <c r="J12" s="53">
        <f t="shared" si="6"/>
        <v>-21940.199999999997</v>
      </c>
      <c r="K12" s="52">
        <f t="shared" si="6"/>
        <v>-26328.239999999994</v>
      </c>
      <c r="L12" s="53">
        <f t="shared" si="6"/>
        <v>-87644.652000000002</v>
      </c>
      <c r="M12" s="52">
        <f t="shared" si="6"/>
        <v>-89026.88459999999</v>
      </c>
      <c r="N12" s="53">
        <f t="shared" si="6"/>
        <v>-91929.573059999995</v>
      </c>
      <c r="O12" s="52">
        <f t="shared" si="6"/>
        <v>-95122.530365999992</v>
      </c>
      <c r="P12" s="53">
        <f t="shared" si="6"/>
        <v>-98634.783402600006</v>
      </c>
      <c r="Q12" s="52">
        <f t="shared" si="6"/>
        <v>-102498.26174286001</v>
      </c>
      <c r="R12" s="54">
        <f t="shared" si="6"/>
        <v>-106748.08791714601</v>
      </c>
      <c r="S12" s="55">
        <f t="shared" si="6"/>
        <v>-111422.89670886062</v>
      </c>
      <c r="T12" s="50">
        <f t="shared" si="6"/>
        <v>-120729.44982370007</v>
      </c>
      <c r="U12" s="50">
        <f t="shared" si="6"/>
        <v>-120729.44982370007</v>
      </c>
      <c r="V12" s="50">
        <f t="shared" si="6"/>
        <v>-120729.44982370007</v>
      </c>
      <c r="W12" s="50">
        <f t="shared" si="6"/>
        <v>-120729.44982370007</v>
      </c>
      <c r="X12" s="50">
        <f t="shared" si="6"/>
        <v>-120729.44982370007</v>
      </c>
    </row>
    <row r="13" spans="1:24">
      <c r="A13" s="56" t="s">
        <v>8</v>
      </c>
      <c r="B13" s="49"/>
      <c r="C13" s="27"/>
      <c r="D13" s="28"/>
      <c r="E13" s="29"/>
      <c r="F13" s="57"/>
      <c r="G13" s="57"/>
      <c r="H13" s="31"/>
      <c r="I13" s="28"/>
      <c r="J13" s="32"/>
      <c r="K13" s="28"/>
      <c r="L13" s="32"/>
      <c r="M13" s="28"/>
      <c r="N13" s="32"/>
      <c r="O13" s="28"/>
      <c r="P13" s="32"/>
      <c r="Q13" s="28"/>
      <c r="R13" s="33"/>
      <c r="S13" s="33"/>
      <c r="T13" s="33"/>
      <c r="U13" s="33"/>
      <c r="V13" s="33"/>
      <c r="W13" s="33"/>
      <c r="X13" s="33"/>
    </row>
    <row r="14" spans="1:24">
      <c r="A14" s="56" t="s">
        <v>8</v>
      </c>
      <c r="B14" s="49"/>
      <c r="C14" s="58" t="s">
        <v>11</v>
      </c>
      <c r="D14" s="28"/>
      <c r="E14" s="29"/>
      <c r="F14" s="57"/>
      <c r="G14" s="57"/>
      <c r="H14" s="31">
        <v>0</v>
      </c>
      <c r="I14" s="28">
        <v>0</v>
      </c>
      <c r="J14" s="32">
        <f>I14</f>
        <v>0</v>
      </c>
      <c r="K14" s="28">
        <f t="shared" ref="K14:X14" si="7">J14</f>
        <v>0</v>
      </c>
      <c r="L14" s="32">
        <f t="shared" si="7"/>
        <v>0</v>
      </c>
      <c r="M14" s="28">
        <f t="shared" si="7"/>
        <v>0</v>
      </c>
      <c r="N14" s="32">
        <f t="shared" si="7"/>
        <v>0</v>
      </c>
      <c r="O14" s="28">
        <f t="shared" si="7"/>
        <v>0</v>
      </c>
      <c r="P14" s="32">
        <f t="shared" si="7"/>
        <v>0</v>
      </c>
      <c r="Q14" s="28">
        <f t="shared" si="7"/>
        <v>0</v>
      </c>
      <c r="R14" s="33">
        <f t="shared" si="7"/>
        <v>0</v>
      </c>
      <c r="S14" s="33">
        <f t="shared" si="7"/>
        <v>0</v>
      </c>
      <c r="T14" s="33">
        <f t="shared" si="7"/>
        <v>0</v>
      </c>
      <c r="U14" s="33">
        <f t="shared" si="7"/>
        <v>0</v>
      </c>
      <c r="V14" s="33">
        <f t="shared" si="7"/>
        <v>0</v>
      </c>
      <c r="W14" s="33">
        <f t="shared" si="7"/>
        <v>0</v>
      </c>
      <c r="X14" s="33">
        <f t="shared" si="7"/>
        <v>0</v>
      </c>
    </row>
    <row r="15" spans="1:24" s="66" customFormat="1" ht="25.5">
      <c r="A15" s="59" t="s">
        <v>8</v>
      </c>
      <c r="B15" s="60"/>
      <c r="C15" s="58" t="s">
        <v>12</v>
      </c>
      <c r="D15" s="61"/>
      <c r="E15" s="62"/>
      <c r="F15" s="63"/>
      <c r="G15" s="63"/>
      <c r="H15" s="31">
        <f>'[2]CF SUSA'!D15</f>
        <v>-5656.2199999999993</v>
      </c>
      <c r="I15" s="61">
        <f>'[2]CF SUSA'!F15</f>
        <v>-166924.95000000001</v>
      </c>
      <c r="J15" s="64">
        <f>'[2]CF SUSA'!H15</f>
        <v>-21940.199999999997</v>
      </c>
      <c r="K15" s="61">
        <f>'[2]CF SUSA'!V15</f>
        <v>-26328.239999999994</v>
      </c>
      <c r="L15" s="64">
        <f>'[2]CF SUSA'!W15</f>
        <v>-27644.651999999995</v>
      </c>
      <c r="M15" s="61">
        <f>'[2]CF SUSA'!X15</f>
        <v>-29026.884599999994</v>
      </c>
      <c r="N15" s="64">
        <f>'[2]CF SUSA'!Y15</f>
        <v>-31929.573059999995</v>
      </c>
      <c r="O15" s="61">
        <f>'[2]CF SUSA'!Z15</f>
        <v>-35122.530365999999</v>
      </c>
      <c r="P15" s="64">
        <f>'[2]CF SUSA'!AA15</f>
        <v>-38634.783402600006</v>
      </c>
      <c r="Q15" s="61">
        <f>'[2]CF SUSA'!AB15</f>
        <v>-42498.261742860006</v>
      </c>
      <c r="R15" s="65">
        <f>'[2]CF SUSA'!AC15</f>
        <v>-46748.087917146011</v>
      </c>
      <c r="S15" s="65">
        <f>'[2]CF SUSA'!AD15</f>
        <v>-51422.896708860615</v>
      </c>
      <c r="T15" s="65">
        <f t="shared" ref="T15:X15" si="8">-5%*T4</f>
        <v>-120729.44982370007</v>
      </c>
      <c r="U15" s="65">
        <f t="shared" si="8"/>
        <v>-120729.44982370007</v>
      </c>
      <c r="V15" s="65">
        <f t="shared" si="8"/>
        <v>-120729.44982370007</v>
      </c>
      <c r="W15" s="65">
        <f t="shared" si="8"/>
        <v>-120729.44982370007</v>
      </c>
      <c r="X15" s="65">
        <f t="shared" si="8"/>
        <v>-120729.44982370007</v>
      </c>
    </row>
    <row r="16" spans="1:24">
      <c r="A16" s="56" t="s">
        <v>8</v>
      </c>
      <c r="B16" s="49"/>
      <c r="C16" s="58" t="s">
        <v>13</v>
      </c>
      <c r="D16" s="28"/>
      <c r="E16" s="29"/>
      <c r="F16" s="57"/>
      <c r="G16" s="57"/>
      <c r="H16" s="32"/>
      <c r="I16" s="28"/>
      <c r="J16" s="32"/>
      <c r="K16" s="28"/>
      <c r="L16" s="32"/>
      <c r="M16" s="28"/>
      <c r="N16" s="32"/>
      <c r="O16" s="28"/>
      <c r="P16" s="32"/>
      <c r="Q16" s="28"/>
      <c r="R16" s="33"/>
      <c r="S16" s="33"/>
      <c r="T16" s="33"/>
      <c r="U16" s="33"/>
      <c r="V16" s="33"/>
      <c r="W16" s="33"/>
      <c r="X16" s="33"/>
    </row>
    <row r="17" spans="1:24" ht="25.5">
      <c r="A17" s="48" t="s">
        <v>8</v>
      </c>
      <c r="B17" s="49" t="s">
        <v>14</v>
      </c>
      <c r="C17" s="58" t="s">
        <v>15</v>
      </c>
      <c r="D17" s="28"/>
      <c r="E17" s="29"/>
      <c r="F17" s="30"/>
      <c r="G17" s="30"/>
      <c r="H17" s="67">
        <v>0</v>
      </c>
      <c r="I17" s="68">
        <v>0</v>
      </c>
      <c r="J17" s="69">
        <v>0</v>
      </c>
      <c r="K17" s="68">
        <f>'[2]CF SUSA'!V16</f>
        <v>0</v>
      </c>
      <c r="L17" s="70">
        <f>'[2]CF SUSA'!W16</f>
        <v>-60000</v>
      </c>
      <c r="M17" s="70">
        <f>'[2]CF SUSA'!X16</f>
        <v>-60000</v>
      </c>
      <c r="N17" s="70">
        <f>'[2]CF SUSA'!Y16</f>
        <v>-60000</v>
      </c>
      <c r="O17" s="70">
        <f>'[2]CF SUSA'!Z16</f>
        <v>-60000</v>
      </c>
      <c r="P17" s="70">
        <f>'[2]CF SUSA'!AA16</f>
        <v>-60000</v>
      </c>
      <c r="Q17" s="70">
        <f>'[2]CF SUSA'!AB16</f>
        <v>-60000</v>
      </c>
      <c r="R17" s="70">
        <f>'[2]CF SUSA'!AC16</f>
        <v>-60000</v>
      </c>
      <c r="S17" s="70">
        <f>'[2]CF SUSA'!AD16</f>
        <v>-60000</v>
      </c>
      <c r="T17" s="69">
        <f>'[2]CF SUSA'!AE16</f>
        <v>0</v>
      </c>
      <c r="U17" s="69">
        <f>'[2]CF SUSA'!AF16</f>
        <v>0</v>
      </c>
      <c r="V17" s="69">
        <f>'[2]CF SUSA'!AG16</f>
        <v>0</v>
      </c>
      <c r="W17" s="69">
        <f>'[2]CF SUSA'!AH16</f>
        <v>0</v>
      </c>
      <c r="X17" s="69">
        <f>'[2]CF SUSA'!AI16</f>
        <v>0</v>
      </c>
    </row>
    <row r="18" spans="1:24">
      <c r="A18" s="18"/>
      <c r="B18" s="71" t="s">
        <v>16</v>
      </c>
      <c r="C18" s="72" t="s">
        <v>17</v>
      </c>
      <c r="D18" s="73"/>
      <c r="E18" s="73"/>
      <c r="F18" s="73"/>
      <c r="G18" s="73"/>
      <c r="H18" s="74">
        <f>SUM(H4,H12)</f>
        <v>258007.67</v>
      </c>
      <c r="I18" s="75">
        <f t="shared" ref="I18:X18" si="9">SUM(I4,I12)</f>
        <v>716208.04</v>
      </c>
      <c r="J18" s="76">
        <f>SUM(J4,J12)</f>
        <v>1058505.1500000001</v>
      </c>
      <c r="K18" s="75">
        <f t="shared" si="9"/>
        <v>1531879.91</v>
      </c>
      <c r="L18" s="76">
        <f t="shared" si="9"/>
        <v>1833010.0425</v>
      </c>
      <c r="M18" s="75">
        <f t="shared" si="9"/>
        <v>1936665.000735</v>
      </c>
      <c r="N18" s="76">
        <f t="shared" si="9"/>
        <v>2015276.9963350499</v>
      </c>
      <c r="O18" s="75">
        <f t="shared" si="9"/>
        <v>2106570.8099859017</v>
      </c>
      <c r="P18" s="76">
        <f t="shared" si="9"/>
        <v>2201973.4597286088</v>
      </c>
      <c r="Q18" s="75">
        <f t="shared" si="9"/>
        <v>2301665.5363794728</v>
      </c>
      <c r="R18" s="77">
        <f t="shared" si="9"/>
        <v>2405834.797230904</v>
      </c>
      <c r="S18" s="78">
        <f t="shared" si="9"/>
        <v>2514676.3567297803</v>
      </c>
      <c r="T18" s="73">
        <f t="shared" si="9"/>
        <v>2293859.5466503012</v>
      </c>
      <c r="U18" s="73">
        <f t="shared" si="9"/>
        <v>2293859.5466503012</v>
      </c>
      <c r="V18" s="73">
        <f t="shared" si="9"/>
        <v>2293859.5466503012</v>
      </c>
      <c r="W18" s="73">
        <f t="shared" si="9"/>
        <v>2293859.5466503012</v>
      </c>
      <c r="X18" s="73">
        <f t="shared" si="9"/>
        <v>2293859.5466503012</v>
      </c>
    </row>
    <row r="19" spans="1:24">
      <c r="A19" s="18"/>
      <c r="B19" s="37" t="s">
        <v>18</v>
      </c>
      <c r="C19" s="79" t="s">
        <v>19</v>
      </c>
      <c r="D19" s="80"/>
      <c r="E19" s="40"/>
      <c r="F19" s="81"/>
      <c r="G19" s="40"/>
      <c r="H19" s="82">
        <v>0</v>
      </c>
      <c r="I19" s="80">
        <f t="shared" ref="I19:X19" si="10">I18/I$4</f>
        <v>0.8109854892862739</v>
      </c>
      <c r="J19" s="83">
        <f t="shared" si="10"/>
        <v>0.97969337366299925</v>
      </c>
      <c r="K19" s="80">
        <f t="shared" si="10"/>
        <v>0.98310351540646224</v>
      </c>
      <c r="L19" s="83">
        <f t="shared" si="10"/>
        <v>0.95436730389331315</v>
      </c>
      <c r="M19" s="80">
        <f t="shared" si="10"/>
        <v>0.95605112246116486</v>
      </c>
      <c r="N19" s="83">
        <f t="shared" si="10"/>
        <v>0.956373725103566</v>
      </c>
      <c r="O19" s="80">
        <f t="shared" si="10"/>
        <v>0.95679574052270322</v>
      </c>
      <c r="P19" s="83">
        <f t="shared" si="10"/>
        <v>0.95712664957317795</v>
      </c>
      <c r="Q19" s="80">
        <f t="shared" si="10"/>
        <v>0.95736635672539794</v>
      </c>
      <c r="R19" s="84">
        <f t="shared" si="10"/>
        <v>0.95751460039462311</v>
      </c>
      <c r="S19" s="85">
        <f t="shared" si="10"/>
        <v>0.95757094993155256</v>
      </c>
      <c r="T19" s="40">
        <f t="shared" si="10"/>
        <v>0.95000000000000007</v>
      </c>
      <c r="U19" s="40">
        <f t="shared" si="10"/>
        <v>0.95000000000000007</v>
      </c>
      <c r="V19" s="40">
        <f t="shared" si="10"/>
        <v>0.95000000000000007</v>
      </c>
      <c r="W19" s="40">
        <f t="shared" si="10"/>
        <v>0.95000000000000007</v>
      </c>
      <c r="X19" s="40">
        <f t="shared" si="10"/>
        <v>0.95000000000000007</v>
      </c>
    </row>
    <row r="20" spans="1:24" hidden="1">
      <c r="A20" s="18" t="s">
        <v>20</v>
      </c>
      <c r="B20" s="49" t="s">
        <v>21</v>
      </c>
      <c r="C20" s="58" t="s">
        <v>22</v>
      </c>
      <c r="D20" s="86"/>
      <c r="E20" s="87"/>
      <c r="F20" s="88"/>
      <c r="G20" s="88"/>
      <c r="H20" s="89"/>
      <c r="I20" s="86"/>
      <c r="J20" s="90"/>
      <c r="K20" s="86"/>
      <c r="L20" s="90"/>
      <c r="M20" s="86"/>
      <c r="N20" s="90"/>
      <c r="O20" s="86"/>
      <c r="P20" s="90"/>
      <c r="Q20" s="86"/>
      <c r="R20" s="91"/>
      <c r="S20" s="91"/>
      <c r="T20" s="92"/>
      <c r="U20" s="92"/>
      <c r="V20" s="92"/>
      <c r="W20" s="92"/>
      <c r="X20" s="92"/>
    </row>
    <row r="21" spans="1:24" hidden="1">
      <c r="A21" s="18" t="s">
        <v>20</v>
      </c>
      <c r="B21" s="49"/>
      <c r="C21" s="58" t="s">
        <v>23</v>
      </c>
      <c r="D21" s="86"/>
      <c r="E21" s="87"/>
      <c r="F21" s="88"/>
      <c r="G21" s="88"/>
      <c r="H21" s="89"/>
      <c r="I21" s="86"/>
      <c r="J21" s="90"/>
      <c r="K21" s="86"/>
      <c r="L21" s="90"/>
      <c r="M21" s="86"/>
      <c r="N21" s="90"/>
      <c r="O21" s="86"/>
      <c r="P21" s="90"/>
      <c r="Q21" s="86"/>
      <c r="R21" s="91"/>
      <c r="S21" s="91"/>
      <c r="T21" s="92"/>
      <c r="U21" s="92"/>
      <c r="V21" s="92"/>
      <c r="W21" s="92"/>
      <c r="X21" s="92"/>
    </row>
    <row r="22" spans="1:24" hidden="1">
      <c r="A22" s="18" t="str">
        <f>+A21</f>
        <v>+</v>
      </c>
      <c r="B22" s="49"/>
      <c r="C22" s="58" t="s">
        <v>24</v>
      </c>
      <c r="D22" s="86"/>
      <c r="E22" s="87"/>
      <c r="F22" s="88"/>
      <c r="G22" s="88"/>
      <c r="H22" s="89"/>
      <c r="I22" s="86"/>
      <c r="J22" s="90"/>
      <c r="K22" s="86"/>
      <c r="L22" s="90"/>
      <c r="M22" s="86"/>
      <c r="N22" s="90"/>
      <c r="O22" s="86"/>
      <c r="P22" s="90"/>
      <c r="Q22" s="86"/>
      <c r="R22" s="91"/>
      <c r="S22" s="91"/>
      <c r="T22" s="92"/>
      <c r="U22" s="92"/>
      <c r="V22" s="92"/>
      <c r="W22" s="92"/>
      <c r="X22" s="92"/>
    </row>
    <row r="23" spans="1:24" ht="25.5">
      <c r="A23" s="48" t="s">
        <v>8</v>
      </c>
      <c r="B23" s="49" t="s">
        <v>25</v>
      </c>
      <c r="C23" s="93" t="s">
        <v>26</v>
      </c>
      <c r="D23" s="28"/>
      <c r="E23" s="29"/>
      <c r="F23" s="30"/>
      <c r="G23" s="30"/>
      <c r="H23" s="31">
        <f>'[2]CF SUSA'!D20</f>
        <v>-146685</v>
      </c>
      <c r="I23" s="28">
        <f>'[2]CF SUSA'!F20</f>
        <v>-389187.91000000003</v>
      </c>
      <c r="J23" s="32">
        <f>'[2]CF SUSA'!H20</f>
        <v>-577559</v>
      </c>
      <c r="K23" s="28">
        <f>'[2]CF SUSA'!V20</f>
        <v>-606436.95000000007</v>
      </c>
      <c r="L23" s="32">
        <f>'[2]CF SUSA'!W20</f>
        <v>-636758.7975000001</v>
      </c>
      <c r="M23" s="28">
        <f>'[2]CF SUSA'!X20</f>
        <v>-668596.73737500014</v>
      </c>
      <c r="N23" s="32">
        <f>'[2]CF SUSA'!Y20</f>
        <v>-702026.57424375019</v>
      </c>
      <c r="O23" s="28">
        <f>'[2]CF SUSA'!Z20</f>
        <v>-737127.90295593778</v>
      </c>
      <c r="P23" s="32">
        <f>'[2]CF SUSA'!AA20</f>
        <v>-773984.29810373473</v>
      </c>
      <c r="Q23" s="28">
        <f>'[2]CF SUSA'!AB20</f>
        <v>-812683.51300892152</v>
      </c>
      <c r="R23" s="33">
        <f>'[2]CF SUSA'!AC20</f>
        <v>-853317.68865936762</v>
      </c>
      <c r="S23" s="33">
        <f>'[2]CF SUSA'!AD20</f>
        <v>-895983.57309233607</v>
      </c>
      <c r="T23" s="34">
        <f t="shared" ref="T23:X23" si="11">S23*1.03</f>
        <v>-922863.0802851062</v>
      </c>
      <c r="U23" s="34">
        <f t="shared" si="11"/>
        <v>-950548.97269365937</v>
      </c>
      <c r="V23" s="34">
        <f t="shared" si="11"/>
        <v>-979065.44187446916</v>
      </c>
      <c r="W23" s="34">
        <f t="shared" si="11"/>
        <v>-1008437.4051307032</v>
      </c>
      <c r="X23" s="34">
        <f t="shared" si="11"/>
        <v>-1038690.5272846244</v>
      </c>
    </row>
    <row r="24" spans="1:24">
      <c r="A24" s="48" t="s">
        <v>8</v>
      </c>
      <c r="B24" s="49" t="s">
        <v>27</v>
      </c>
      <c r="C24" s="93" t="s">
        <v>28</v>
      </c>
      <c r="D24" s="28"/>
      <c r="E24" s="29"/>
      <c r="F24" s="30"/>
      <c r="G24" s="30"/>
      <c r="H24" s="31">
        <f>'[2]CF SUSA'!D21</f>
        <v>0</v>
      </c>
      <c r="I24" s="28">
        <f>'[2]CF SUSA'!F21</f>
        <v>-9592.5</v>
      </c>
      <c r="J24" s="32">
        <f>'[2]CF SUSA'!H21</f>
        <v>-3490.93</v>
      </c>
      <c r="K24" s="28">
        <f>'[2]CF SUSA'!V21</f>
        <v>-5000</v>
      </c>
      <c r="L24" s="28">
        <f>'[2]CF SUSA'!W21</f>
        <v>-5250</v>
      </c>
      <c r="M24" s="28">
        <f>'[2]CF SUSA'!X21</f>
        <v>-5512.5</v>
      </c>
      <c r="N24" s="28">
        <f>'[2]CF SUSA'!Y21</f>
        <v>-5788.125</v>
      </c>
      <c r="O24" s="28">
        <f>'[2]CF SUSA'!Z21</f>
        <v>-6077.53125</v>
      </c>
      <c r="P24" s="28">
        <f>'[2]CF SUSA'!AA21</f>
        <v>-6381.4078125000005</v>
      </c>
      <c r="Q24" s="28">
        <f>'[2]CF SUSA'!AB21</f>
        <v>-6700.4782031250006</v>
      </c>
      <c r="R24" s="28">
        <f>'[2]CF SUSA'!AC21</f>
        <v>-7035.5021132812508</v>
      </c>
      <c r="S24" s="28">
        <f>'[2]CF SUSA'!AD21</f>
        <v>-7387.2772189453135</v>
      </c>
      <c r="T24" s="34"/>
      <c r="U24" s="34"/>
      <c r="V24" s="34"/>
      <c r="W24" s="34"/>
      <c r="X24" s="34"/>
    </row>
    <row r="25" spans="1:24">
      <c r="A25" s="56" t="s">
        <v>8</v>
      </c>
      <c r="B25" s="49"/>
      <c r="C25" s="93" t="s">
        <v>29</v>
      </c>
      <c r="D25" s="28"/>
      <c r="E25" s="29"/>
      <c r="F25" s="30"/>
      <c r="G25" s="30"/>
      <c r="H25" s="31">
        <f>'[2]CF SUSA'!D23</f>
        <v>0</v>
      </c>
      <c r="I25" s="28">
        <f>'[2]CF SUSA'!F23</f>
        <v>-3334.14</v>
      </c>
      <c r="J25" s="32">
        <f>'[2]CF SUSA'!H23</f>
        <v>-15378.3</v>
      </c>
      <c r="K25" s="28">
        <f>'[2]CF SUSA'!V23</f>
        <v>-16916.13</v>
      </c>
      <c r="L25" s="32">
        <f>'[2]CF SUSA'!W23</f>
        <v>-20299.356</v>
      </c>
      <c r="M25" s="28">
        <f>'[2]CF SUSA'!X23</f>
        <v>-22329.2916</v>
      </c>
      <c r="N25" s="32">
        <f>'[2]CF SUSA'!Y23</f>
        <v>-24562.220760000004</v>
      </c>
      <c r="O25" s="28">
        <f>'[2]CF SUSA'!Z23</f>
        <v>-27018.442836000006</v>
      </c>
      <c r="P25" s="32">
        <f>'[2]CF SUSA'!AA23</f>
        <v>-29720.287119600009</v>
      </c>
      <c r="Q25" s="28">
        <f>'[2]CF SUSA'!AB23</f>
        <v>-32692.315831560012</v>
      </c>
      <c r="R25" s="33">
        <f>'[2]CF SUSA'!AC23</f>
        <v>-35961.547414716013</v>
      </c>
      <c r="S25" s="33">
        <f>'[2]CF SUSA'!AD23</f>
        <v>-39557.702156187617</v>
      </c>
      <c r="T25" s="34">
        <f t="shared" ref="T25:X26" si="12">-2%*T18</f>
        <v>-45877.190933006023</v>
      </c>
      <c r="U25" s="34">
        <f t="shared" si="12"/>
        <v>-45877.190933006023</v>
      </c>
      <c r="V25" s="34">
        <f t="shared" si="12"/>
        <v>-45877.190933006023</v>
      </c>
      <c r="W25" s="34">
        <f t="shared" si="12"/>
        <v>-45877.190933006023</v>
      </c>
      <c r="X25" s="34">
        <f t="shared" si="12"/>
        <v>-45877.190933006023</v>
      </c>
    </row>
    <row r="26" spans="1:24">
      <c r="A26" s="56" t="s">
        <v>8</v>
      </c>
      <c r="B26" s="49"/>
      <c r="C26" s="93" t="s">
        <v>30</v>
      </c>
      <c r="D26" s="28"/>
      <c r="E26" s="29"/>
      <c r="F26" s="30"/>
      <c r="G26" s="30"/>
      <c r="H26" s="31">
        <f>'[2]CF SUSA'!D24</f>
        <v>-3380.45</v>
      </c>
      <c r="I26" s="28">
        <f>'[2]CF SUSA'!F24</f>
        <v>-5151.9399999999996</v>
      </c>
      <c r="J26" s="32">
        <f>'[2]CF SUSA'!H24</f>
        <v>-30519.97</v>
      </c>
      <c r="K26" s="28">
        <f>'[2]CF SUSA'!V24</f>
        <v>-2000</v>
      </c>
      <c r="L26" s="32">
        <f>'[2]CF SUSA'!W24</f>
        <v>-2000</v>
      </c>
      <c r="M26" s="28">
        <f>'[2]CF SUSA'!X24</f>
        <v>-2000</v>
      </c>
      <c r="N26" s="32">
        <f>'[2]CF SUSA'!Y24</f>
        <v>-2000</v>
      </c>
      <c r="O26" s="28">
        <f>'[2]CF SUSA'!Z24</f>
        <v>-2000</v>
      </c>
      <c r="P26" s="32">
        <f>'[2]CF SUSA'!AA24</f>
        <v>-2000</v>
      </c>
      <c r="Q26" s="28">
        <f>'[2]CF SUSA'!AB24</f>
        <v>-2000</v>
      </c>
      <c r="R26" s="33">
        <f>'[2]CF SUSA'!AC24</f>
        <v>-2000</v>
      </c>
      <c r="S26" s="33">
        <f>'[2]CF SUSA'!AD24</f>
        <v>-2000</v>
      </c>
      <c r="T26" s="34">
        <f t="shared" si="12"/>
        <v>-1.9000000000000003E-2</v>
      </c>
      <c r="U26" s="34">
        <f t="shared" si="12"/>
        <v>-1.9000000000000003E-2</v>
      </c>
      <c r="V26" s="34">
        <f t="shared" si="12"/>
        <v>-1.9000000000000003E-2</v>
      </c>
      <c r="W26" s="34">
        <f t="shared" si="12"/>
        <v>-1.9000000000000003E-2</v>
      </c>
      <c r="X26" s="34">
        <f t="shared" si="12"/>
        <v>-1.9000000000000003E-2</v>
      </c>
    </row>
    <row r="27" spans="1:24">
      <c r="A27" s="56" t="s">
        <v>8</v>
      </c>
      <c r="B27" s="49"/>
      <c r="C27" s="93" t="s">
        <v>31</v>
      </c>
      <c r="D27" s="28"/>
      <c r="E27" s="29"/>
      <c r="F27" s="30"/>
      <c r="G27" s="30"/>
      <c r="H27" s="31">
        <f>'[2]CF SUSA'!D26</f>
        <v>-273</v>
      </c>
      <c r="I27" s="28">
        <f>'[2]CF SUSA'!F26</f>
        <v>-634.16</v>
      </c>
      <c r="J27" s="32">
        <f>'[2]CF SUSA'!H26</f>
        <v>-483.56</v>
      </c>
      <c r="K27" s="28">
        <f>'[2]CF SUSA'!V26</f>
        <v>-1000</v>
      </c>
      <c r="L27" s="32">
        <f>'[2]CF SUSA'!W26</f>
        <v>-1100</v>
      </c>
      <c r="M27" s="28">
        <f>'[2]CF SUSA'!X26</f>
        <v>-1210</v>
      </c>
      <c r="N27" s="32">
        <f>'[2]CF SUSA'!Y26</f>
        <v>-1331</v>
      </c>
      <c r="O27" s="28">
        <f>'[2]CF SUSA'!Z26</f>
        <v>-1464.1000000000001</v>
      </c>
      <c r="P27" s="32">
        <f>'[2]CF SUSA'!AA26</f>
        <v>-1610.5100000000002</v>
      </c>
      <c r="Q27" s="28">
        <f>'[2]CF SUSA'!AB26</f>
        <v>-1771.5610000000004</v>
      </c>
      <c r="R27" s="33">
        <f>'[2]CF SUSA'!AC26</f>
        <v>-1948.7171000000005</v>
      </c>
      <c r="S27" s="33">
        <f>'[2]CF SUSA'!AD26</f>
        <v>-2143.5888100000006</v>
      </c>
      <c r="T27" s="34">
        <f t="shared" ref="T27:X27" si="13">-0.3%*T18</f>
        <v>-6881.5786399509034</v>
      </c>
      <c r="U27" s="34">
        <f t="shared" si="13"/>
        <v>-6881.5786399509034</v>
      </c>
      <c r="V27" s="34">
        <f t="shared" si="13"/>
        <v>-6881.5786399509034</v>
      </c>
      <c r="W27" s="34">
        <f t="shared" si="13"/>
        <v>-6881.5786399509034</v>
      </c>
      <c r="X27" s="34">
        <f t="shared" si="13"/>
        <v>-6881.5786399509034</v>
      </c>
    </row>
    <row r="28" spans="1:24">
      <c r="A28" s="56" t="s">
        <v>8</v>
      </c>
      <c r="B28" s="49"/>
      <c r="C28" s="93" t="s">
        <v>32</v>
      </c>
      <c r="D28" s="28"/>
      <c r="E28" s="29"/>
      <c r="F28" s="30"/>
      <c r="G28" s="30"/>
      <c r="H28" s="31">
        <f>'[2]CF SUSA'!D27</f>
        <v>0</v>
      </c>
      <c r="I28" s="28">
        <f>'[2]CF SUSA'!F27</f>
        <v>-143042.4</v>
      </c>
      <c r="J28" s="32">
        <f>'[2]CF SUSA'!H27</f>
        <v>-14722.66</v>
      </c>
      <c r="K28" s="28">
        <f>'[2]CF SUSA'!V27</f>
        <v>-15458.793</v>
      </c>
      <c r="L28" s="32">
        <f>'[2]CF SUSA'!W27</f>
        <v>-16231.73265</v>
      </c>
      <c r="M28" s="28">
        <f>'[2]CF SUSA'!X27</f>
        <v>-17043.319282500001</v>
      </c>
      <c r="N28" s="32">
        <f>'[2]CF SUSA'!Y27</f>
        <v>-17895.485246625001</v>
      </c>
      <c r="O28" s="28">
        <f>'[2]CF SUSA'!Z27</f>
        <v>-18790.259508956253</v>
      </c>
      <c r="P28" s="32">
        <f>'[2]CF SUSA'!AA27</f>
        <v>-19729.772484404068</v>
      </c>
      <c r="Q28" s="28">
        <f>'[2]CF SUSA'!AB27</f>
        <v>-20716.261108624272</v>
      </c>
      <c r="R28" s="33">
        <f>'[2]CF SUSA'!AC27</f>
        <v>-21752.074164055488</v>
      </c>
      <c r="S28" s="33">
        <f>'[2]CF SUSA'!AD27</f>
        <v>-22839.677872258264</v>
      </c>
      <c r="T28" s="34">
        <f t="shared" ref="T28:X28" si="14">-13%*T18</f>
        <v>-298201.74106453918</v>
      </c>
      <c r="U28" s="34">
        <f t="shared" si="14"/>
        <v>-298201.74106453918</v>
      </c>
      <c r="V28" s="34">
        <f t="shared" si="14"/>
        <v>-298201.74106453918</v>
      </c>
      <c r="W28" s="34">
        <f t="shared" si="14"/>
        <v>-298201.74106453918</v>
      </c>
      <c r="X28" s="34">
        <f t="shared" si="14"/>
        <v>-298201.74106453918</v>
      </c>
    </row>
    <row r="29" spans="1:24">
      <c r="A29" s="56" t="s">
        <v>8</v>
      </c>
      <c r="B29" s="49"/>
      <c r="C29" s="93" t="s">
        <v>33</v>
      </c>
      <c r="D29" s="28"/>
      <c r="E29" s="29"/>
      <c r="F29" s="30"/>
      <c r="G29" s="30"/>
      <c r="H29" s="31">
        <f>'[2]CF SUSA'!D28</f>
        <v>-155.5</v>
      </c>
      <c r="I29" s="28">
        <f>'[2]CF SUSA'!F28</f>
        <v>-186.58</v>
      </c>
      <c r="J29" s="32">
        <f>'[2]CF SUSA'!H28</f>
        <v>-153</v>
      </c>
      <c r="K29" s="28">
        <f>'[2]CF SUSA'!V28</f>
        <v>-200</v>
      </c>
      <c r="L29" s="32">
        <f>'[2]CF SUSA'!W28</f>
        <v>-200</v>
      </c>
      <c r="M29" s="28">
        <f>'[2]CF SUSA'!X28</f>
        <v>-200</v>
      </c>
      <c r="N29" s="32">
        <f>'[2]CF SUSA'!Y28</f>
        <v>-200</v>
      </c>
      <c r="O29" s="28">
        <f>'[2]CF SUSA'!Z28</f>
        <v>-200</v>
      </c>
      <c r="P29" s="32">
        <f>'[2]CF SUSA'!AA28</f>
        <v>-200</v>
      </c>
      <c r="Q29" s="28">
        <f>'[2]CF SUSA'!AB28</f>
        <v>-200</v>
      </c>
      <c r="R29" s="33">
        <f>'[2]CF SUSA'!AC28</f>
        <v>-200</v>
      </c>
      <c r="S29" s="33">
        <f>'[2]CF SUSA'!AD28</f>
        <v>-200</v>
      </c>
      <c r="T29" s="34">
        <f t="shared" ref="T29:X30" si="15">R29*12</f>
        <v>-2400</v>
      </c>
      <c r="U29" s="34">
        <f t="shared" si="15"/>
        <v>-2400</v>
      </c>
      <c r="V29" s="34">
        <f t="shared" si="15"/>
        <v>-28800</v>
      </c>
      <c r="W29" s="34">
        <f t="shared" si="15"/>
        <v>-28800</v>
      </c>
      <c r="X29" s="34">
        <f t="shared" si="15"/>
        <v>-345600</v>
      </c>
    </row>
    <row r="30" spans="1:24" hidden="1">
      <c r="A30" s="56" t="s">
        <v>8</v>
      </c>
      <c r="B30" s="49"/>
      <c r="C30" s="93" t="s">
        <v>34</v>
      </c>
      <c r="D30" s="28"/>
      <c r="E30" s="29"/>
      <c r="F30" s="30"/>
      <c r="G30" s="30"/>
      <c r="H30" s="31"/>
      <c r="I30" s="28"/>
      <c r="J30" s="32"/>
      <c r="K30" s="28"/>
      <c r="L30" s="32"/>
      <c r="M30" s="28"/>
      <c r="N30" s="32"/>
      <c r="O30" s="28"/>
      <c r="P30" s="32">
        <f t="shared" ref="P30:S30" si="16">N30*12</f>
        <v>0</v>
      </c>
      <c r="Q30" s="28">
        <f t="shared" si="16"/>
        <v>0</v>
      </c>
      <c r="R30" s="33">
        <f t="shared" si="16"/>
        <v>0</v>
      </c>
      <c r="S30" s="33">
        <f t="shared" si="16"/>
        <v>0</v>
      </c>
      <c r="T30" s="34">
        <f t="shared" si="15"/>
        <v>0</v>
      </c>
      <c r="U30" s="34">
        <f t="shared" si="15"/>
        <v>0</v>
      </c>
      <c r="V30" s="34">
        <f t="shared" si="15"/>
        <v>0</v>
      </c>
      <c r="W30" s="34">
        <f t="shared" si="15"/>
        <v>0</v>
      </c>
      <c r="X30" s="34">
        <f t="shared" si="15"/>
        <v>0</v>
      </c>
    </row>
    <row r="31" spans="1:24">
      <c r="A31" s="56" t="s">
        <v>8</v>
      </c>
      <c r="B31" s="49"/>
      <c r="C31" s="93" t="s">
        <v>35</v>
      </c>
      <c r="D31" s="28"/>
      <c r="E31" s="29"/>
      <c r="F31" s="30"/>
      <c r="G31" s="30"/>
      <c r="H31" s="31">
        <f>'[2]CF SUSA'!D29</f>
        <v>-154.56</v>
      </c>
      <c r="I31" s="28">
        <f>'[2]CF SUSA'!F29</f>
        <v>-966.17</v>
      </c>
      <c r="J31" s="32">
        <f>'[2]CF SUSA'!H29</f>
        <v>-1064.75</v>
      </c>
      <c r="K31" s="28">
        <f>'[2]CF SUSA'!V29</f>
        <v>-1117.9875</v>
      </c>
      <c r="L31" s="28">
        <f>'[2]CF SUSA'!W29</f>
        <v>-1173.8868749999999</v>
      </c>
      <c r="M31" s="28">
        <f>'[2]CF SUSA'!X29</f>
        <v>-1232.5812187500001</v>
      </c>
      <c r="N31" s="28">
        <f>'[2]CF SUSA'!Y29</f>
        <v>-1294.2102796875001</v>
      </c>
      <c r="O31" s="28">
        <f>'[2]CF SUSA'!Z29</f>
        <v>-1358.9207936718751</v>
      </c>
      <c r="P31" s="28">
        <f>'[2]CF SUSA'!AA29</f>
        <v>-1426.866833355469</v>
      </c>
      <c r="Q31" s="28">
        <f>'[2]CF SUSA'!AB29</f>
        <v>-1498.2101750232425</v>
      </c>
      <c r="R31" s="28">
        <f>'[2]CF SUSA'!AC29</f>
        <v>-1573.1206837744048</v>
      </c>
      <c r="S31" s="28">
        <f>'[2]CF SUSA'!AD29</f>
        <v>-1651.7767179631251</v>
      </c>
      <c r="T31" s="34">
        <f t="shared" ref="T31:X31" si="17">-0.2%*T18</f>
        <v>-4587.7190933006023</v>
      </c>
      <c r="U31" s="34">
        <f t="shared" si="17"/>
        <v>-4587.7190933006023</v>
      </c>
      <c r="V31" s="34">
        <f t="shared" si="17"/>
        <v>-4587.7190933006023</v>
      </c>
      <c r="W31" s="34">
        <f t="shared" si="17"/>
        <v>-4587.7190933006023</v>
      </c>
      <c r="X31" s="34">
        <f t="shared" si="17"/>
        <v>-4587.7190933006023</v>
      </c>
    </row>
    <row r="32" spans="1:24" hidden="1">
      <c r="A32" s="56" t="s">
        <v>8</v>
      </c>
      <c r="B32" s="49"/>
      <c r="C32" s="93" t="s">
        <v>36</v>
      </c>
      <c r="D32" s="28"/>
      <c r="E32" s="29"/>
      <c r="F32" s="30"/>
      <c r="G32" s="30"/>
      <c r="H32" s="31"/>
      <c r="I32" s="28"/>
      <c r="J32" s="32"/>
      <c r="K32" s="28"/>
      <c r="L32" s="32"/>
      <c r="M32" s="28"/>
      <c r="N32" s="32"/>
      <c r="O32" s="28"/>
      <c r="P32" s="32">
        <f t="shared" ref="P32:X38" si="18">N32*12</f>
        <v>0</v>
      </c>
      <c r="Q32" s="28">
        <f t="shared" si="18"/>
        <v>0</v>
      </c>
      <c r="R32" s="33">
        <f t="shared" si="18"/>
        <v>0</v>
      </c>
      <c r="S32" s="33">
        <f t="shared" si="18"/>
        <v>0</v>
      </c>
      <c r="T32" s="34">
        <f t="shared" si="18"/>
        <v>0</v>
      </c>
      <c r="U32" s="34">
        <f t="shared" si="18"/>
        <v>0</v>
      </c>
      <c r="V32" s="34">
        <f t="shared" si="18"/>
        <v>0</v>
      </c>
      <c r="W32" s="34">
        <f t="shared" si="18"/>
        <v>0</v>
      </c>
      <c r="X32" s="34">
        <f t="shared" si="18"/>
        <v>0</v>
      </c>
    </row>
    <row r="33" spans="1:24" hidden="1">
      <c r="A33" s="56" t="s">
        <v>8</v>
      </c>
      <c r="B33" s="49"/>
      <c r="C33" s="93" t="s">
        <v>37</v>
      </c>
      <c r="D33" s="28"/>
      <c r="E33" s="29"/>
      <c r="F33" s="30"/>
      <c r="G33" s="30"/>
      <c r="H33" s="31"/>
      <c r="I33" s="28"/>
      <c r="J33" s="32"/>
      <c r="K33" s="28"/>
      <c r="L33" s="32"/>
      <c r="M33" s="28"/>
      <c r="N33" s="32"/>
      <c r="O33" s="28"/>
      <c r="P33" s="32"/>
      <c r="Q33" s="28"/>
      <c r="R33" s="33"/>
      <c r="S33" s="33"/>
      <c r="T33" s="34">
        <f t="shared" ref="T33:X33" si="19">-0.5%*T18</f>
        <v>-11469.297733251506</v>
      </c>
      <c r="U33" s="34">
        <f t="shared" si="19"/>
        <v>-11469.297733251506</v>
      </c>
      <c r="V33" s="34">
        <f t="shared" si="19"/>
        <v>-11469.297733251506</v>
      </c>
      <c r="W33" s="34">
        <f t="shared" si="19"/>
        <v>-11469.297733251506</v>
      </c>
      <c r="X33" s="34">
        <f t="shared" si="19"/>
        <v>-11469.297733251506</v>
      </c>
    </row>
    <row r="34" spans="1:24" hidden="1">
      <c r="A34" s="56" t="s">
        <v>8</v>
      </c>
      <c r="B34" s="49"/>
      <c r="C34" s="93" t="s">
        <v>38</v>
      </c>
      <c r="D34" s="28"/>
      <c r="E34" s="29"/>
      <c r="F34" s="30"/>
      <c r="G34" s="30"/>
      <c r="H34" s="31"/>
      <c r="I34" s="28"/>
      <c r="J34" s="32"/>
      <c r="K34" s="28"/>
      <c r="L34" s="32"/>
      <c r="M34" s="28"/>
      <c r="N34" s="32"/>
      <c r="O34" s="28"/>
      <c r="P34" s="32">
        <f t="shared" si="18"/>
        <v>0</v>
      </c>
      <c r="Q34" s="28">
        <f t="shared" si="18"/>
        <v>0</v>
      </c>
      <c r="R34" s="33">
        <f t="shared" si="18"/>
        <v>0</v>
      </c>
      <c r="S34" s="33">
        <f t="shared" si="18"/>
        <v>0</v>
      </c>
      <c r="T34" s="34">
        <f t="shared" si="18"/>
        <v>0</v>
      </c>
      <c r="U34" s="34">
        <f t="shared" si="18"/>
        <v>0</v>
      </c>
      <c r="V34" s="34">
        <f t="shared" si="18"/>
        <v>0</v>
      </c>
      <c r="W34" s="34">
        <f t="shared" si="18"/>
        <v>0</v>
      </c>
      <c r="X34" s="34">
        <f t="shared" si="18"/>
        <v>0</v>
      </c>
    </row>
    <row r="35" spans="1:24" hidden="1">
      <c r="A35" s="56" t="s">
        <v>8</v>
      </c>
      <c r="B35" s="49"/>
      <c r="C35" s="93" t="s">
        <v>39</v>
      </c>
      <c r="D35" s="28"/>
      <c r="E35" s="29"/>
      <c r="F35" s="30"/>
      <c r="G35" s="30"/>
      <c r="H35" s="31"/>
      <c r="I35" s="28"/>
      <c r="J35" s="32"/>
      <c r="K35" s="28"/>
      <c r="L35" s="32"/>
      <c r="M35" s="28"/>
      <c r="N35" s="32"/>
      <c r="O35" s="28"/>
      <c r="P35" s="32">
        <f t="shared" si="18"/>
        <v>0</v>
      </c>
      <c r="Q35" s="28">
        <f t="shared" si="18"/>
        <v>0</v>
      </c>
      <c r="R35" s="33">
        <f t="shared" si="18"/>
        <v>0</v>
      </c>
      <c r="S35" s="33">
        <f t="shared" si="18"/>
        <v>0</v>
      </c>
      <c r="T35" s="34">
        <f t="shared" si="18"/>
        <v>0</v>
      </c>
      <c r="U35" s="34">
        <f t="shared" si="18"/>
        <v>0</v>
      </c>
      <c r="V35" s="34">
        <f t="shared" si="18"/>
        <v>0</v>
      </c>
      <c r="W35" s="34">
        <f t="shared" si="18"/>
        <v>0</v>
      </c>
      <c r="X35" s="34">
        <f t="shared" si="18"/>
        <v>0</v>
      </c>
    </row>
    <row r="36" spans="1:24">
      <c r="A36" s="56" t="s">
        <v>8</v>
      </c>
      <c r="B36" s="49"/>
      <c r="C36" s="93" t="s">
        <v>40</v>
      </c>
      <c r="D36" s="28"/>
      <c r="E36" s="29"/>
      <c r="F36" s="30"/>
      <c r="G36" s="30"/>
      <c r="H36" s="31">
        <f>'[2]CF SUSA'!D33</f>
        <v>-20477</v>
      </c>
      <c r="I36" s="28">
        <f>'[2]CF SUSA'!F33</f>
        <v>-54378.720000000001</v>
      </c>
      <c r="J36" s="32">
        <f>'[2]CF SUSA'!H33</f>
        <v>-65853.88</v>
      </c>
      <c r="K36" s="28">
        <f>'[2]CF SUSA'!V33</f>
        <v>-72439.268000000011</v>
      </c>
      <c r="L36" s="32">
        <f>'[2]CF SUSA'!W33</f>
        <v>-72439.268000000011</v>
      </c>
      <c r="M36" s="28">
        <f>'[2]CF SUSA'!X33</f>
        <v>-72439.268000000011</v>
      </c>
      <c r="N36" s="32">
        <f>'[2]CF SUSA'!Y33</f>
        <v>-72439.268000000011</v>
      </c>
      <c r="O36" s="28">
        <f>'[2]CF SUSA'!Z33</f>
        <v>-72439.268000000011</v>
      </c>
      <c r="P36" s="32">
        <f>'[2]CF SUSA'!AA33</f>
        <v>-72439.268000000011</v>
      </c>
      <c r="Q36" s="28">
        <f>'[2]CF SUSA'!AB33</f>
        <v>-72439.268000000011</v>
      </c>
      <c r="R36" s="33">
        <f>'[2]CF SUSA'!AC33</f>
        <v>-72439.268000000011</v>
      </c>
      <c r="S36" s="33">
        <f>'[2]CF SUSA'!AD33</f>
        <v>-72439.268000000011</v>
      </c>
      <c r="T36" s="34">
        <f t="shared" ref="T36:X36" si="20">-5%*T18</f>
        <v>-114692.97733251506</v>
      </c>
      <c r="U36" s="34">
        <f t="shared" si="20"/>
        <v>-114692.97733251506</v>
      </c>
      <c r="V36" s="34">
        <f t="shared" si="20"/>
        <v>-114692.97733251506</v>
      </c>
      <c r="W36" s="34">
        <f t="shared" si="20"/>
        <v>-114692.97733251506</v>
      </c>
      <c r="X36" s="34">
        <f t="shared" si="20"/>
        <v>-114692.97733251506</v>
      </c>
    </row>
    <row r="37" spans="1:24">
      <c r="A37" s="56" t="s">
        <v>8</v>
      </c>
      <c r="B37" s="49"/>
      <c r="C37" s="93" t="s">
        <v>41</v>
      </c>
      <c r="D37" s="28"/>
      <c r="E37" s="29"/>
      <c r="F37" s="30"/>
      <c r="G37" s="30"/>
      <c r="H37" s="31">
        <f>'[2]CF SUSA'!D34</f>
        <v>-1826.73</v>
      </c>
      <c r="I37" s="28">
        <f>'[2]CF SUSA'!F34</f>
        <v>-1319.96</v>
      </c>
      <c r="J37" s="32">
        <f>'[2]CF SUSA'!H34</f>
        <v>0</v>
      </c>
      <c r="K37" s="28">
        <f>'[2]CF SUSA'!V34</f>
        <v>-35000</v>
      </c>
      <c r="L37" s="32">
        <f>'[2]CF SUSA'!W34</f>
        <v>-500</v>
      </c>
      <c r="M37" s="28">
        <f>'[2]CF SUSA'!X34</f>
        <v>-500</v>
      </c>
      <c r="N37" s="32">
        <f>'[2]CF SUSA'!Y34</f>
        <v>-500</v>
      </c>
      <c r="O37" s="28">
        <f>'[2]CF SUSA'!Z34</f>
        <v>-500</v>
      </c>
      <c r="P37" s="32">
        <f>'[2]CF SUSA'!AA34</f>
        <v>-500</v>
      </c>
      <c r="Q37" s="28">
        <f>'[2]CF SUSA'!AB34</f>
        <v>-500</v>
      </c>
      <c r="R37" s="33">
        <f>'[2]CF SUSA'!AC34</f>
        <v>-500</v>
      </c>
      <c r="S37" s="33">
        <f>'[2]CF SUSA'!AD34</f>
        <v>-500</v>
      </c>
      <c r="T37" s="34">
        <f t="shared" ref="T37:X38" si="21">R37*12</f>
        <v>-6000</v>
      </c>
      <c r="U37" s="34">
        <f t="shared" si="21"/>
        <v>-6000</v>
      </c>
      <c r="V37" s="34">
        <f t="shared" si="21"/>
        <v>-72000</v>
      </c>
      <c r="W37" s="34">
        <f t="shared" si="21"/>
        <v>-72000</v>
      </c>
      <c r="X37" s="34">
        <f t="shared" si="21"/>
        <v>-864000</v>
      </c>
    </row>
    <row r="38" spans="1:24" hidden="1">
      <c r="A38" s="56" t="s">
        <v>8</v>
      </c>
      <c r="B38" s="49"/>
      <c r="C38" s="93" t="s">
        <v>42</v>
      </c>
      <c r="D38" s="28"/>
      <c r="E38" s="29"/>
      <c r="F38" s="30"/>
      <c r="G38" s="30"/>
      <c r="H38" s="31" t="e">
        <f>SUM(#REF!)</f>
        <v>#REF!</v>
      </c>
      <c r="I38" s="28"/>
      <c r="J38" s="32"/>
      <c r="K38" s="28"/>
      <c r="L38" s="32"/>
      <c r="M38" s="28"/>
      <c r="N38" s="32"/>
      <c r="O38" s="28"/>
      <c r="P38" s="32">
        <f t="shared" si="18"/>
        <v>0</v>
      </c>
      <c r="Q38" s="28">
        <f t="shared" si="18"/>
        <v>0</v>
      </c>
      <c r="R38" s="33">
        <f t="shared" si="18"/>
        <v>0</v>
      </c>
      <c r="S38" s="33">
        <f t="shared" si="18"/>
        <v>0</v>
      </c>
      <c r="T38" s="34">
        <f t="shared" si="21"/>
        <v>0</v>
      </c>
      <c r="U38" s="34">
        <f t="shared" si="21"/>
        <v>0</v>
      </c>
      <c r="V38" s="34">
        <f t="shared" si="21"/>
        <v>0</v>
      </c>
      <c r="W38" s="34">
        <f t="shared" si="21"/>
        <v>0</v>
      </c>
      <c r="X38" s="34">
        <f t="shared" si="21"/>
        <v>0</v>
      </c>
    </row>
    <row r="39" spans="1:24" hidden="1">
      <c r="A39" s="56" t="s">
        <v>8</v>
      </c>
      <c r="B39" s="49"/>
      <c r="C39" s="93" t="s">
        <v>43</v>
      </c>
      <c r="D39" s="28"/>
      <c r="E39" s="29"/>
      <c r="F39" s="30"/>
      <c r="G39" s="30"/>
      <c r="H39" s="31" t="e">
        <f>SUM(#REF!)</f>
        <v>#REF!</v>
      </c>
      <c r="I39" s="28"/>
      <c r="J39" s="32"/>
      <c r="K39" s="28"/>
      <c r="L39" s="32"/>
      <c r="M39" s="28"/>
      <c r="N39" s="32"/>
      <c r="O39" s="28"/>
      <c r="P39" s="32"/>
      <c r="Q39" s="28"/>
      <c r="R39" s="33"/>
      <c r="S39" s="33"/>
      <c r="T39" s="34"/>
      <c r="U39" s="34"/>
      <c r="V39" s="34"/>
      <c r="W39" s="34"/>
      <c r="X39" s="34"/>
    </row>
    <row r="40" spans="1:24">
      <c r="A40" s="56" t="s">
        <v>8</v>
      </c>
      <c r="B40" s="49"/>
      <c r="C40" s="93" t="s">
        <v>44</v>
      </c>
      <c r="D40" s="28"/>
      <c r="E40" s="29"/>
      <c r="F40" s="30"/>
      <c r="G40" s="30"/>
      <c r="H40" s="31">
        <f>'[2]CF SUSA'!D35</f>
        <v>-268</v>
      </c>
      <c r="I40" s="28">
        <f>'[2]CF SUSA'!F35</f>
        <v>-118941.58</v>
      </c>
      <c r="J40" s="32">
        <f>'[2]CF SUSA'!H35</f>
        <v>-267865.92</v>
      </c>
      <c r="K40" s="28">
        <f>'[2]CF SUSA'!V35</f>
        <v>-92865.919999999984</v>
      </c>
      <c r="L40" s="32">
        <f>'[2]CF SUSA'!W35</f>
        <v>-92865.919999999984</v>
      </c>
      <c r="M40" s="28">
        <f>'[2]CF SUSA'!X35</f>
        <v>-92865.919999999984</v>
      </c>
      <c r="N40" s="32">
        <f>'[2]CF SUSA'!Y35</f>
        <v>-92865.919999999984</v>
      </c>
      <c r="O40" s="28">
        <f>'[2]CF SUSA'!Z35</f>
        <v>-92865.919999999984</v>
      </c>
      <c r="P40" s="32">
        <f>'[2]CF SUSA'!AA35</f>
        <v>-92865.919999999984</v>
      </c>
      <c r="Q40" s="28">
        <f>'[2]CF SUSA'!AB35</f>
        <v>-92865.919999999984</v>
      </c>
      <c r="R40" s="33">
        <f>'[2]CF SUSA'!AC35</f>
        <v>-92865.919999999984</v>
      </c>
      <c r="S40" s="33">
        <f>'[2]CF SUSA'!AD35</f>
        <v>-92865.919999999984</v>
      </c>
      <c r="T40" s="34"/>
      <c r="U40" s="34"/>
      <c r="V40" s="34"/>
      <c r="W40" s="34"/>
      <c r="X40" s="34"/>
    </row>
    <row r="41" spans="1:24" ht="25.5" hidden="1">
      <c r="A41" s="56" t="s">
        <v>45</v>
      </c>
      <c r="B41" s="49"/>
      <c r="C41" s="93" t="s">
        <v>46</v>
      </c>
      <c r="D41" s="28"/>
      <c r="E41" s="29"/>
      <c r="F41" s="30"/>
      <c r="G41" s="30"/>
      <c r="H41" s="31"/>
      <c r="I41" s="28"/>
      <c r="J41" s="32"/>
      <c r="K41" s="28"/>
      <c r="L41" s="32"/>
      <c r="M41" s="28"/>
      <c r="N41" s="32"/>
      <c r="O41" s="28"/>
      <c r="P41" s="32"/>
      <c r="Q41" s="28"/>
      <c r="R41" s="33"/>
      <c r="S41" s="33"/>
      <c r="T41" s="34"/>
      <c r="U41" s="34"/>
      <c r="V41" s="34"/>
      <c r="W41" s="34"/>
      <c r="X41" s="34"/>
    </row>
    <row r="42" spans="1:24">
      <c r="A42" s="56" t="s">
        <v>8</v>
      </c>
      <c r="B42" s="49"/>
      <c r="C42" s="93" t="s">
        <v>47</v>
      </c>
      <c r="D42" s="28"/>
      <c r="E42" s="29"/>
      <c r="F42" s="30"/>
      <c r="G42" s="30"/>
      <c r="H42" s="31"/>
      <c r="I42" s="28"/>
      <c r="J42" s="32"/>
      <c r="K42" s="28"/>
      <c r="L42" s="32"/>
      <c r="M42" s="28"/>
      <c r="N42" s="32"/>
      <c r="O42" s="28"/>
      <c r="P42" s="32"/>
      <c r="Q42" s="28"/>
      <c r="R42" s="33"/>
      <c r="S42" s="33"/>
      <c r="T42" s="34"/>
      <c r="U42" s="34"/>
      <c r="V42" s="34"/>
      <c r="W42" s="34"/>
      <c r="X42" s="34"/>
    </row>
    <row r="43" spans="1:24" ht="25.5">
      <c r="A43" s="18"/>
      <c r="B43" s="71" t="s">
        <v>48</v>
      </c>
      <c r="C43" s="72" t="s">
        <v>49</v>
      </c>
      <c r="D43" s="73"/>
      <c r="E43" s="73"/>
      <c r="F43" s="73"/>
      <c r="G43" s="73"/>
      <c r="H43" s="74">
        <f>H37+H23</f>
        <v>-148511.73000000001</v>
      </c>
      <c r="I43" s="75">
        <f>SUM(I18,I20:I42)</f>
        <v>-10528.01999999999</v>
      </c>
      <c r="J43" s="76">
        <f>SUM(J18,J20:J42)</f>
        <v>81413.180000000226</v>
      </c>
      <c r="K43" s="75">
        <f t="shared" ref="K43:X43" si="22">SUM(K18,K20:K42)</f>
        <v>683444.86149999988</v>
      </c>
      <c r="L43" s="76">
        <f t="shared" si="22"/>
        <v>984191.08147500013</v>
      </c>
      <c r="M43" s="75">
        <f t="shared" si="22"/>
        <v>1052735.3832587497</v>
      </c>
      <c r="N43" s="76">
        <f t="shared" si="22"/>
        <v>1094374.1928049873</v>
      </c>
      <c r="O43" s="75">
        <f t="shared" si="22"/>
        <v>1146728.4646413359</v>
      </c>
      <c r="P43" s="76">
        <f t="shared" si="22"/>
        <v>1201115.1293750147</v>
      </c>
      <c r="Q43" s="75">
        <f t="shared" si="22"/>
        <v>1257598.0090522191</v>
      </c>
      <c r="R43" s="77">
        <f t="shared" si="22"/>
        <v>1316240.9590957093</v>
      </c>
      <c r="S43" s="78">
        <f t="shared" si="22"/>
        <v>1377107.5728620898</v>
      </c>
      <c r="T43" s="73">
        <f t="shared" si="22"/>
        <v>880885.94256863149</v>
      </c>
      <c r="U43" s="73">
        <f t="shared" si="22"/>
        <v>853200.05016007845</v>
      </c>
      <c r="V43" s="73">
        <f t="shared" si="22"/>
        <v>732283.58097926865</v>
      </c>
      <c r="W43" s="73">
        <f t="shared" si="22"/>
        <v>702911.61772303458</v>
      </c>
      <c r="X43" s="73">
        <f t="shared" si="22"/>
        <v>-436141.50443088671</v>
      </c>
    </row>
    <row r="44" spans="1:24">
      <c r="A44" s="94"/>
      <c r="B44" s="95" t="s">
        <v>50</v>
      </c>
      <c r="C44" s="79" t="s">
        <v>51</v>
      </c>
      <c r="D44" s="80"/>
      <c r="E44" s="40"/>
      <c r="F44" s="40"/>
      <c r="G44" s="40"/>
      <c r="H44" s="82">
        <v>0</v>
      </c>
      <c r="I44" s="80">
        <f t="shared" ref="I44:X44" si="23">I43/I$4</f>
        <v>-1.1921216984544977E-2</v>
      </c>
      <c r="J44" s="83">
        <f t="shared" si="23"/>
        <v>7.5351502044967128E-2</v>
      </c>
      <c r="K44" s="80">
        <f t="shared" si="23"/>
        <v>0.4386094768532689</v>
      </c>
      <c r="L44" s="83">
        <f t="shared" si="23"/>
        <v>0.51242479155328469</v>
      </c>
      <c r="M44" s="80">
        <f t="shared" si="23"/>
        <v>0.51969176106200032</v>
      </c>
      <c r="N44" s="83">
        <f t="shared" si="23"/>
        <v>0.51934832052045432</v>
      </c>
      <c r="O44" s="80">
        <f t="shared" si="23"/>
        <v>0.52083932109185183</v>
      </c>
      <c r="P44" s="83">
        <f t="shared" si="23"/>
        <v>0.52208590183101089</v>
      </c>
      <c r="Q44" s="80">
        <f t="shared" si="23"/>
        <v>0.52309165042515449</v>
      </c>
      <c r="R44" s="84">
        <f t="shared" si="23"/>
        <v>0.52385971697731748</v>
      </c>
      <c r="S44" s="85">
        <f t="shared" si="23"/>
        <v>0.52439281228951695</v>
      </c>
      <c r="T44" s="40">
        <f t="shared" si="23"/>
        <v>0.36481817147969281</v>
      </c>
      <c r="U44" s="40">
        <f t="shared" si="23"/>
        <v>0.35335208244798494</v>
      </c>
      <c r="V44" s="40">
        <f t="shared" si="23"/>
        <v>0.30327462853869319</v>
      </c>
      <c r="W44" s="40">
        <f t="shared" si="23"/>
        <v>0.29111025468495427</v>
      </c>
      <c r="X44" s="40">
        <f t="shared" si="23"/>
        <v>-0.18062763686398786</v>
      </c>
    </row>
    <row r="45" spans="1:24" ht="25.5">
      <c r="A45" s="48" t="s">
        <v>8</v>
      </c>
      <c r="B45" s="49" t="s">
        <v>52</v>
      </c>
      <c r="C45" s="96" t="s">
        <v>53</v>
      </c>
      <c r="D45" s="28"/>
      <c r="E45" s="29"/>
      <c r="F45" s="29"/>
      <c r="G45" s="29"/>
      <c r="H45" s="31">
        <f>'[2]CF SUSA'!D39</f>
        <v>-41497.360000000001</v>
      </c>
      <c r="I45" s="28">
        <f>'[2]CF SUSA'!F39</f>
        <v>-223932.73</v>
      </c>
      <c r="J45" s="32">
        <f>'[2]CF SUSA'!H39</f>
        <v>-67883.87</v>
      </c>
      <c r="K45" s="28">
        <f>'[2]CF SUSA'!V39</f>
        <v>-67883.87</v>
      </c>
      <c r="L45" s="32">
        <f>'[2]CF SUSA'!W39</f>
        <v>-267883.87</v>
      </c>
      <c r="M45" s="28">
        <f>'[2]CF SUSA'!X39</f>
        <v>-267883.87</v>
      </c>
      <c r="N45" s="32">
        <f>'[2]CF SUSA'!Y39</f>
        <v>-267883.87</v>
      </c>
      <c r="O45" s="28">
        <f>'[2]CF SUSA'!Z39</f>
        <v>-267883.87</v>
      </c>
      <c r="P45" s="32">
        <f>'[2]CF SUSA'!AA39</f>
        <v>-267883.87</v>
      </c>
      <c r="Q45" s="28">
        <f>'[2]CF SUSA'!AB39</f>
        <v>-267883.87</v>
      </c>
      <c r="R45" s="33">
        <f>'[2]CF SUSA'!AC39</f>
        <v>-267883.87</v>
      </c>
      <c r="S45" s="33">
        <f>'[2]CF SUSA'!AD39</f>
        <v>-267883.87</v>
      </c>
      <c r="T45" s="34">
        <f>-'[2]amortizment proiect'!N15</f>
        <v>0</v>
      </c>
      <c r="U45" s="34">
        <f>-'[2]amortizment proiect'!O15</f>
        <v>0</v>
      </c>
      <c r="V45" s="34">
        <f>-'[2]amortizment proiect'!P15</f>
        <v>0</v>
      </c>
      <c r="W45" s="34">
        <f>-'[2]amortizment proiect'!Q15</f>
        <v>0</v>
      </c>
      <c r="X45" s="34">
        <f>-'[2]amortizment proiect'!R15</f>
        <v>0</v>
      </c>
    </row>
    <row r="46" spans="1:24">
      <c r="A46" s="48"/>
      <c r="B46" s="49"/>
      <c r="C46" s="96" t="s">
        <v>54</v>
      </c>
      <c r="D46" s="28"/>
      <c r="E46" s="29"/>
      <c r="F46" s="29"/>
      <c r="G46" s="29"/>
      <c r="H46" s="31">
        <v>0</v>
      </c>
      <c r="I46" s="28"/>
      <c r="J46" s="32"/>
      <c r="K46" s="28"/>
      <c r="L46" s="32"/>
      <c r="M46" s="28"/>
      <c r="N46" s="32"/>
      <c r="O46" s="28"/>
      <c r="P46" s="32"/>
      <c r="Q46" s="28"/>
      <c r="R46" s="33"/>
      <c r="S46" s="33"/>
      <c r="T46" s="34"/>
      <c r="U46" s="34"/>
      <c r="V46" s="34"/>
      <c r="W46" s="34"/>
      <c r="X46" s="34"/>
    </row>
    <row r="47" spans="1:24">
      <c r="A47" s="18"/>
      <c r="B47" s="71" t="s">
        <v>55</v>
      </c>
      <c r="C47" s="97" t="s">
        <v>56</v>
      </c>
      <c r="D47" s="75"/>
      <c r="E47" s="73"/>
      <c r="F47" s="73"/>
      <c r="G47" s="73"/>
      <c r="H47" s="74">
        <f t="shared" ref="H47:X47" si="24">SUM(H43,H45:H46)</f>
        <v>-190009.09000000003</v>
      </c>
      <c r="I47" s="75">
        <f t="shared" si="24"/>
        <v>-234460.75</v>
      </c>
      <c r="J47" s="76">
        <f>SUM(J43,J45:J46)</f>
        <v>13529.310000000231</v>
      </c>
      <c r="K47" s="75">
        <f t="shared" si="24"/>
        <v>615560.99149999989</v>
      </c>
      <c r="L47" s="76">
        <f>SUM(L43,L45:L46)</f>
        <v>716307.21147500013</v>
      </c>
      <c r="M47" s="75">
        <f t="shared" si="24"/>
        <v>784851.51325874974</v>
      </c>
      <c r="N47" s="76">
        <f t="shared" si="24"/>
        <v>826490.32280498731</v>
      </c>
      <c r="O47" s="75">
        <f t="shared" si="24"/>
        <v>878844.59464133589</v>
      </c>
      <c r="P47" s="76">
        <f t="shared" si="24"/>
        <v>933231.25937501469</v>
      </c>
      <c r="Q47" s="75">
        <f t="shared" si="24"/>
        <v>989714.13905221911</v>
      </c>
      <c r="R47" s="77">
        <f t="shared" si="24"/>
        <v>1048357.0890957093</v>
      </c>
      <c r="S47" s="78">
        <f t="shared" si="24"/>
        <v>1109223.70286209</v>
      </c>
      <c r="T47" s="73">
        <f t="shared" si="24"/>
        <v>880885.94256863149</v>
      </c>
      <c r="U47" s="73">
        <f t="shared" si="24"/>
        <v>853200.05016007845</v>
      </c>
      <c r="V47" s="73">
        <f t="shared" si="24"/>
        <v>732283.58097926865</v>
      </c>
      <c r="W47" s="73">
        <f t="shared" si="24"/>
        <v>702911.61772303458</v>
      </c>
      <c r="X47" s="73">
        <f t="shared" si="24"/>
        <v>-436141.50443088671</v>
      </c>
    </row>
    <row r="48" spans="1:24">
      <c r="A48" s="98" t="s">
        <v>57</v>
      </c>
      <c r="B48" s="99" t="s">
        <v>58</v>
      </c>
      <c r="C48" s="100" t="s">
        <v>59</v>
      </c>
      <c r="D48" s="28"/>
      <c r="E48" s="29"/>
      <c r="F48" s="29"/>
      <c r="G48" s="29"/>
      <c r="H48" s="31">
        <v>0</v>
      </c>
      <c r="I48" s="28">
        <v>0</v>
      </c>
      <c r="J48" s="32">
        <v>0</v>
      </c>
      <c r="K48" s="28">
        <f>'[2]CF SUSA'!V42</f>
        <v>-40034.999999999993</v>
      </c>
      <c r="L48" s="32">
        <f>'[2]CF SUSA'!W42</f>
        <v>-91764.007936507944</v>
      </c>
      <c r="M48" s="28">
        <f>'[2]CF SUSA'!X42</f>
        <v>-67024.047619047633</v>
      </c>
      <c r="N48" s="32">
        <f>'[2]CF SUSA'!Y42</f>
        <v>-39735.952380952425</v>
      </c>
      <c r="O48" s="28">
        <f>'[2]CF SUSA'!Z42</f>
        <v>-12447.85714285719</v>
      </c>
      <c r="P48" s="32">
        <f>'[2]CF SUSA'!AA42</f>
        <v>14852.698412698366</v>
      </c>
      <c r="Q48" s="28">
        <f>'[2]CF SUSA'!AB42</f>
        <v>42128.333333333285</v>
      </c>
      <c r="R48" s="33">
        <f>'[2]CF SUSA'!AC42</f>
        <v>69416.428571428492</v>
      </c>
      <c r="S48" s="33">
        <f>'[2]CF SUSA'!AD42</f>
        <v>36701.865079365045</v>
      </c>
      <c r="T48" s="34">
        <f>-'[2]grafic rambursare credit 10 ani'!R12</f>
        <v>0</v>
      </c>
      <c r="U48" s="34">
        <f>-'[2]grafic rambursare credit 10 ani'!S12</f>
        <v>0</v>
      </c>
      <c r="V48" s="34">
        <f>-'[2]grafic rambursare credit 10 ani'!T12</f>
        <v>0</v>
      </c>
      <c r="W48" s="34">
        <f>-'[2]grafic rambursare credit 10 ani'!U12</f>
        <v>0</v>
      </c>
      <c r="X48" s="34">
        <f>-'[2]grafic rambursare credit 10 ani'!V12</f>
        <v>0</v>
      </c>
    </row>
    <row r="49" spans="1:24">
      <c r="A49" s="98" t="s">
        <v>57</v>
      </c>
      <c r="B49" s="99" t="s">
        <v>60</v>
      </c>
      <c r="C49" s="100" t="s">
        <v>61</v>
      </c>
      <c r="D49" s="28"/>
      <c r="E49" s="29"/>
      <c r="F49" s="29"/>
      <c r="G49" s="29"/>
      <c r="H49" s="31">
        <v>0</v>
      </c>
      <c r="I49" s="28"/>
      <c r="J49" s="32"/>
      <c r="K49" s="28"/>
      <c r="L49" s="32"/>
      <c r="M49" s="28"/>
      <c r="N49" s="32"/>
      <c r="O49" s="28"/>
      <c r="P49" s="32">
        <v>13</v>
      </c>
      <c r="Q49" s="28">
        <v>14</v>
      </c>
      <c r="R49" s="33">
        <v>15</v>
      </c>
      <c r="S49" s="33">
        <v>16</v>
      </c>
      <c r="T49" s="34">
        <v>17</v>
      </c>
      <c r="U49" s="34">
        <v>18</v>
      </c>
      <c r="V49" s="34">
        <v>19</v>
      </c>
      <c r="W49" s="34">
        <v>20</v>
      </c>
      <c r="X49" s="34">
        <v>21</v>
      </c>
    </row>
    <row r="50" spans="1:24" ht="25.5">
      <c r="A50" s="98" t="s">
        <v>57</v>
      </c>
      <c r="B50" s="99" t="s">
        <v>62</v>
      </c>
      <c r="C50" s="58" t="s">
        <v>63</v>
      </c>
      <c r="D50" s="28"/>
      <c r="E50" s="29"/>
      <c r="F50" s="29"/>
      <c r="G50" s="29"/>
      <c r="H50" s="31"/>
      <c r="I50" s="28"/>
      <c r="J50" s="32"/>
      <c r="K50" s="28"/>
      <c r="L50" s="32"/>
      <c r="M50" s="28"/>
      <c r="N50" s="32"/>
      <c r="O50" s="28"/>
      <c r="P50" s="32"/>
      <c r="Q50" s="28"/>
      <c r="R50" s="33"/>
      <c r="S50" s="33"/>
      <c r="T50" s="34"/>
      <c r="U50" s="34"/>
      <c r="V50" s="34"/>
      <c r="W50" s="34"/>
      <c r="X50" s="34"/>
    </row>
    <row r="51" spans="1:24">
      <c r="A51" s="98" t="s">
        <v>20</v>
      </c>
      <c r="B51" s="99" t="s">
        <v>64</v>
      </c>
      <c r="C51" s="58" t="s">
        <v>65</v>
      </c>
      <c r="D51" s="28"/>
      <c r="E51" s="29"/>
      <c r="F51" s="29"/>
      <c r="G51" s="29"/>
      <c r="H51" s="31"/>
      <c r="I51" s="28"/>
      <c r="J51" s="32"/>
      <c r="K51" s="28"/>
      <c r="L51" s="32"/>
      <c r="M51" s="28"/>
      <c r="N51" s="32"/>
      <c r="O51" s="28"/>
      <c r="P51" s="32"/>
      <c r="Q51" s="28"/>
      <c r="R51" s="33"/>
      <c r="S51" s="33"/>
      <c r="T51" s="34"/>
      <c r="U51" s="34"/>
      <c r="V51" s="34"/>
      <c r="W51" s="34"/>
      <c r="X51" s="34"/>
    </row>
    <row r="52" spans="1:24">
      <c r="A52" s="98" t="s">
        <v>8</v>
      </c>
      <c r="B52" s="99" t="s">
        <v>66</v>
      </c>
      <c r="C52" s="58" t="s">
        <v>67</v>
      </c>
      <c r="D52" s="28"/>
      <c r="E52" s="29"/>
      <c r="F52" s="29"/>
      <c r="G52" s="29"/>
      <c r="H52" s="31"/>
      <c r="I52" s="28"/>
      <c r="J52" s="32"/>
      <c r="K52" s="28"/>
      <c r="L52" s="32"/>
      <c r="M52" s="28"/>
      <c r="N52" s="32"/>
      <c r="O52" s="28"/>
      <c r="P52" s="32"/>
      <c r="Q52" s="28"/>
      <c r="R52" s="33"/>
      <c r="S52" s="33"/>
      <c r="T52" s="34"/>
      <c r="U52" s="34"/>
      <c r="V52" s="34"/>
      <c r="W52" s="34"/>
      <c r="X52" s="34"/>
    </row>
    <row r="53" spans="1:24" hidden="1">
      <c r="A53" s="101" t="s">
        <v>8</v>
      </c>
      <c r="B53" s="99"/>
      <c r="C53" s="58"/>
      <c r="D53" s="28"/>
      <c r="E53" s="29"/>
      <c r="F53" s="29"/>
      <c r="G53" s="29"/>
      <c r="H53" s="31"/>
      <c r="I53" s="28"/>
      <c r="J53" s="32"/>
      <c r="K53" s="28"/>
      <c r="L53" s="32"/>
      <c r="M53" s="28"/>
      <c r="N53" s="32"/>
      <c r="O53" s="28"/>
      <c r="P53" s="32"/>
      <c r="Q53" s="28"/>
      <c r="R53" s="33"/>
      <c r="S53" s="33">
        <f t="shared" ref="S53:X53" si="25">R53</f>
        <v>0</v>
      </c>
      <c r="T53" s="34">
        <f t="shared" si="25"/>
        <v>0</v>
      </c>
      <c r="U53" s="34">
        <f t="shared" si="25"/>
        <v>0</v>
      </c>
      <c r="V53" s="34">
        <f t="shared" si="25"/>
        <v>0</v>
      </c>
      <c r="W53" s="34">
        <f t="shared" si="25"/>
        <v>0</v>
      </c>
      <c r="X53" s="34">
        <f t="shared" si="25"/>
        <v>0</v>
      </c>
    </row>
    <row r="54" spans="1:24">
      <c r="A54" s="48" t="s">
        <v>8</v>
      </c>
      <c r="B54" s="99" t="s">
        <v>68</v>
      </c>
      <c r="C54" s="102" t="s">
        <v>69</v>
      </c>
      <c r="D54" s="28"/>
      <c r="E54" s="103"/>
      <c r="F54" s="103"/>
      <c r="G54" s="103"/>
      <c r="H54" s="104"/>
      <c r="I54" s="105"/>
      <c r="J54" s="106"/>
      <c r="K54" s="105">
        <f>-16%*(K47+K48+K53)</f>
        <v>-92084.15863999998</v>
      </c>
      <c r="L54" s="106">
        <f t="shared" ref="L54:X54" si="26">-16%*(L47+L48+L53)</f>
        <v>-99926.91256615876</v>
      </c>
      <c r="M54" s="105">
        <f t="shared" si="26"/>
        <v>-114852.39450235233</v>
      </c>
      <c r="N54" s="106">
        <f t="shared" si="26"/>
        <v>-125880.69926784559</v>
      </c>
      <c r="O54" s="105">
        <f t="shared" si="26"/>
        <v>-138623.47799975661</v>
      </c>
      <c r="P54" s="106">
        <f t="shared" si="26"/>
        <v>-151693.43324603408</v>
      </c>
      <c r="Q54" s="105">
        <f t="shared" si="26"/>
        <v>-165094.79558168838</v>
      </c>
      <c r="R54" s="107">
        <f t="shared" si="26"/>
        <v>-178843.76282674205</v>
      </c>
      <c r="S54" s="108">
        <f t="shared" si="26"/>
        <v>-183348.09087063279</v>
      </c>
      <c r="T54" s="103">
        <f t="shared" si="26"/>
        <v>-140941.75081098103</v>
      </c>
      <c r="U54" s="103">
        <f t="shared" si="26"/>
        <v>-136512.00802561257</v>
      </c>
      <c r="V54" s="103">
        <f t="shared" si="26"/>
        <v>-117165.37295668299</v>
      </c>
      <c r="W54" s="103">
        <f t="shared" si="26"/>
        <v>-112465.85883568553</v>
      </c>
      <c r="X54" s="103">
        <f t="shared" si="26"/>
        <v>69782.640708941879</v>
      </c>
    </row>
    <row r="55" spans="1:24" ht="25.5">
      <c r="A55" s="18"/>
      <c r="B55" s="71" t="s">
        <v>70</v>
      </c>
      <c r="C55" s="109" t="s">
        <v>71</v>
      </c>
      <c r="D55" s="73"/>
      <c r="E55" s="73"/>
      <c r="F55" s="73"/>
      <c r="G55" s="73"/>
      <c r="H55" s="74">
        <f t="shared" ref="H55:X55" si="27">SUM(H47,H48:H54)</f>
        <v>-190009.09000000003</v>
      </c>
      <c r="I55" s="75">
        <f>SUM(I47,I48:I54)</f>
        <v>-234460.75</v>
      </c>
      <c r="J55" s="76">
        <f>SUM(J47,J48:J54)</f>
        <v>13529.310000000231</v>
      </c>
      <c r="K55" s="75">
        <f t="shared" si="27"/>
        <v>483441.83285999991</v>
      </c>
      <c r="L55" s="76">
        <f t="shared" si="27"/>
        <v>524616.2909723334</v>
      </c>
      <c r="M55" s="75">
        <f t="shared" si="27"/>
        <v>602975.0711373497</v>
      </c>
      <c r="N55" s="76">
        <f t="shared" si="27"/>
        <v>660873.67115618929</v>
      </c>
      <c r="O55" s="75">
        <f t="shared" si="27"/>
        <v>727773.25949872215</v>
      </c>
      <c r="P55" s="76">
        <f t="shared" si="27"/>
        <v>796403.52454167895</v>
      </c>
      <c r="Q55" s="75">
        <f t="shared" si="27"/>
        <v>866761.67680386396</v>
      </c>
      <c r="R55" s="77">
        <f t="shared" si="27"/>
        <v>938944.75484039576</v>
      </c>
      <c r="S55" s="78">
        <f t="shared" si="27"/>
        <v>962593.47707082215</v>
      </c>
      <c r="T55" s="73">
        <f t="shared" si="27"/>
        <v>739961.19175765046</v>
      </c>
      <c r="U55" s="73">
        <f t="shared" si="27"/>
        <v>716706.04213446588</v>
      </c>
      <c r="V55" s="73">
        <f t="shared" si="27"/>
        <v>615137.2080225856</v>
      </c>
      <c r="W55" s="73">
        <f t="shared" si="27"/>
        <v>590465.75888734905</v>
      </c>
      <c r="X55" s="73">
        <f t="shared" si="27"/>
        <v>-366337.86372194486</v>
      </c>
    </row>
    <row r="56" spans="1:24" ht="13.5" thickBot="1">
      <c r="A56" s="110"/>
      <c r="B56" s="111" t="s">
        <v>72</v>
      </c>
      <c r="C56" s="112" t="s">
        <v>73</v>
      </c>
      <c r="D56" s="113"/>
      <c r="E56" s="114"/>
      <c r="F56" s="114"/>
      <c r="G56" s="114"/>
      <c r="H56" s="115">
        <v>0</v>
      </c>
      <c r="I56" s="113">
        <f t="shared" ref="I56:X56" si="28">I55/I$4</f>
        <v>-0.26548747771272818</v>
      </c>
      <c r="J56" s="116">
        <f t="shared" si="28"/>
        <v>1.252197531323563E-2</v>
      </c>
      <c r="K56" s="113">
        <f t="shared" si="28"/>
        <v>0.31025497643559363</v>
      </c>
      <c r="L56" s="116">
        <f t="shared" si="28"/>
        <v>0.27314451289689301</v>
      </c>
      <c r="M56" s="113">
        <f t="shared" si="28"/>
        <v>0.2976637639231261</v>
      </c>
      <c r="N56" s="116">
        <f t="shared" si="28"/>
        <v>0.31362547970126964</v>
      </c>
      <c r="O56" s="113">
        <f t="shared" si="28"/>
        <v>0.33055160142438389</v>
      </c>
      <c r="P56" s="116">
        <f t="shared" si="28"/>
        <v>0.34617085586798807</v>
      </c>
      <c r="Q56" s="113">
        <f t="shared" si="28"/>
        <v>0.36052521774132457</v>
      </c>
      <c r="R56" s="117">
        <f t="shared" si="28"/>
        <v>0.37369702722665404</v>
      </c>
      <c r="S56" s="118">
        <f t="shared" si="28"/>
        <v>0.36654877983396572</v>
      </c>
      <c r="T56" s="114">
        <f t="shared" si="28"/>
        <v>0.30645430457862932</v>
      </c>
      <c r="U56" s="114">
        <f t="shared" si="28"/>
        <v>0.2968232039411528</v>
      </c>
      <c r="V56" s="114">
        <f t="shared" si="28"/>
        <v>0.25475855680650578</v>
      </c>
      <c r="W56" s="114">
        <f t="shared" si="28"/>
        <v>0.24454089691852318</v>
      </c>
      <c r="X56" s="114">
        <f t="shared" si="28"/>
        <v>-0.15171851783343013</v>
      </c>
    </row>
    <row r="57" spans="1:24" ht="13.5" thickBot="1">
      <c r="A57" s="119"/>
      <c r="B57" s="120"/>
      <c r="C57" s="120"/>
      <c r="D57" s="121"/>
      <c r="E57" s="122"/>
      <c r="F57" s="123"/>
      <c r="G57" s="123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</row>
    <row r="58" spans="1:24">
      <c r="A58" s="8">
        <v>2</v>
      </c>
      <c r="B58" s="125" t="s">
        <v>74</v>
      </c>
      <c r="C58" s="125" t="s">
        <v>74</v>
      </c>
      <c r="D58" s="126"/>
      <c r="E58" s="127"/>
      <c r="F58" s="128"/>
      <c r="G58" s="128"/>
      <c r="H58" s="129"/>
      <c r="I58" s="130"/>
      <c r="J58" s="131"/>
      <c r="K58" s="130"/>
      <c r="L58" s="131"/>
      <c r="M58" s="130"/>
      <c r="N58" s="131"/>
      <c r="O58" s="130"/>
      <c r="P58" s="131"/>
      <c r="Q58" s="130"/>
      <c r="R58" s="132"/>
      <c r="S58" s="133"/>
      <c r="T58" s="133"/>
      <c r="U58" s="133"/>
      <c r="V58" s="133"/>
      <c r="W58" s="133"/>
      <c r="X58" s="133"/>
    </row>
    <row r="59" spans="1:24">
      <c r="A59" s="101" t="s">
        <v>75</v>
      </c>
      <c r="B59" s="71" t="s">
        <v>76</v>
      </c>
      <c r="C59" s="71" t="s">
        <v>77</v>
      </c>
      <c r="D59" s="134"/>
      <c r="E59" s="94"/>
      <c r="F59" s="135"/>
      <c r="G59" s="135"/>
      <c r="H59" s="136"/>
      <c r="I59" s="137"/>
      <c r="J59" s="138"/>
      <c r="K59" s="137"/>
      <c r="L59" s="138"/>
      <c r="M59" s="137"/>
      <c r="N59" s="138"/>
      <c r="O59" s="137"/>
      <c r="P59" s="138"/>
      <c r="Q59" s="137"/>
      <c r="R59" s="139"/>
      <c r="S59" s="140"/>
      <c r="T59" s="140"/>
      <c r="U59" s="140"/>
      <c r="V59" s="140"/>
      <c r="W59" s="140"/>
      <c r="X59" s="140"/>
    </row>
    <row r="60" spans="1:24" ht="25.5">
      <c r="A60" s="98" t="s">
        <v>57</v>
      </c>
      <c r="B60" s="99" t="s">
        <v>48</v>
      </c>
      <c r="C60" s="141" t="s">
        <v>78</v>
      </c>
      <c r="D60" s="105"/>
      <c r="E60" s="142"/>
      <c r="F60" s="143"/>
      <c r="G60" s="144"/>
      <c r="H60" s="145">
        <f>H$43</f>
        <v>-148511.73000000001</v>
      </c>
      <c r="I60" s="146">
        <f>I$43+I53</f>
        <v>-10528.01999999999</v>
      </c>
      <c r="J60" s="147">
        <f t="shared" ref="J60:R60" si="29">J$43+J53</f>
        <v>81413.180000000226</v>
      </c>
      <c r="K60" s="146">
        <f t="shared" si="29"/>
        <v>683444.86149999988</v>
      </c>
      <c r="L60" s="147">
        <f t="shared" si="29"/>
        <v>984191.08147500013</v>
      </c>
      <c r="M60" s="146">
        <f t="shared" si="29"/>
        <v>1052735.3832587497</v>
      </c>
      <c r="N60" s="147">
        <f t="shared" si="29"/>
        <v>1094374.1928049873</v>
      </c>
      <c r="O60" s="146">
        <f t="shared" si="29"/>
        <v>1146728.4646413359</v>
      </c>
      <c r="P60" s="147">
        <f t="shared" si="29"/>
        <v>1201115.1293750147</v>
      </c>
      <c r="Q60" s="146">
        <f t="shared" si="29"/>
        <v>1257598.0090522191</v>
      </c>
      <c r="R60" s="148">
        <f t="shared" si="29"/>
        <v>1316240.9590957093</v>
      </c>
      <c r="S60" s="149">
        <f t="shared" ref="S60:X60" si="30">S$43</f>
        <v>1377107.5728620898</v>
      </c>
      <c r="T60" s="149">
        <f t="shared" si="30"/>
        <v>880885.94256863149</v>
      </c>
      <c r="U60" s="149">
        <f t="shared" si="30"/>
        <v>853200.05016007845</v>
      </c>
      <c r="V60" s="149">
        <f t="shared" si="30"/>
        <v>732283.58097926865</v>
      </c>
      <c r="W60" s="149">
        <f t="shared" si="30"/>
        <v>702911.61772303458</v>
      </c>
      <c r="X60" s="149">
        <f t="shared" si="30"/>
        <v>-436141.50443088671</v>
      </c>
    </row>
    <row r="61" spans="1:24">
      <c r="A61" s="48" t="s">
        <v>8</v>
      </c>
      <c r="B61" s="99" t="s">
        <v>79</v>
      </c>
      <c r="C61" s="99" t="s">
        <v>80</v>
      </c>
      <c r="D61" s="105"/>
      <c r="E61" s="142"/>
      <c r="F61" s="143"/>
      <c r="G61" s="143"/>
      <c r="H61" s="150">
        <f>H48</f>
        <v>0</v>
      </c>
      <c r="I61" s="150">
        <f t="shared" ref="I61:S61" si="31">I48</f>
        <v>0</v>
      </c>
      <c r="J61" s="150">
        <f t="shared" si="31"/>
        <v>0</v>
      </c>
      <c r="K61" s="150">
        <f>K48</f>
        <v>-40034.999999999993</v>
      </c>
      <c r="L61" s="150">
        <f>L48</f>
        <v>-91764.007936507944</v>
      </c>
      <c r="M61" s="150">
        <f t="shared" si="31"/>
        <v>-67024.047619047633</v>
      </c>
      <c r="N61" s="150">
        <f t="shared" si="31"/>
        <v>-39735.952380952425</v>
      </c>
      <c r="O61" s="150">
        <f t="shared" si="31"/>
        <v>-12447.85714285719</v>
      </c>
      <c r="P61" s="150">
        <f t="shared" si="31"/>
        <v>14852.698412698366</v>
      </c>
      <c r="Q61" s="150">
        <f t="shared" si="31"/>
        <v>42128.333333333285</v>
      </c>
      <c r="R61" s="150">
        <f t="shared" si="31"/>
        <v>69416.428571428492</v>
      </c>
      <c r="S61" s="151">
        <f t="shared" si="31"/>
        <v>36701.865079365045</v>
      </c>
      <c r="T61" s="151" t="e">
        <f>-#REF!</f>
        <v>#REF!</v>
      </c>
      <c r="U61" s="151" t="e">
        <f>-#REF!</f>
        <v>#REF!</v>
      </c>
      <c r="V61" s="151" t="e">
        <f>-#REF!</f>
        <v>#REF!</v>
      </c>
      <c r="W61" s="151" t="e">
        <f>-#REF!</f>
        <v>#REF!</v>
      </c>
      <c r="X61" s="151" t="e">
        <f>-#REF!</f>
        <v>#REF!</v>
      </c>
    </row>
    <row r="62" spans="1:24">
      <c r="A62" s="48" t="s">
        <v>8</v>
      </c>
      <c r="B62" s="99" t="s">
        <v>81</v>
      </c>
      <c r="C62" s="99" t="s">
        <v>82</v>
      </c>
      <c r="D62" s="105"/>
      <c r="E62" s="142"/>
      <c r="F62" s="143"/>
      <c r="G62" s="144"/>
      <c r="H62" s="145">
        <f t="shared" ref="H62:R62" si="32">H$54</f>
        <v>0</v>
      </c>
      <c r="I62" s="146">
        <f t="shared" si="32"/>
        <v>0</v>
      </c>
      <c r="J62" s="147">
        <f t="shared" si="32"/>
        <v>0</v>
      </c>
      <c r="K62" s="146">
        <f t="shared" si="32"/>
        <v>-92084.15863999998</v>
      </c>
      <c r="L62" s="147">
        <f t="shared" si="32"/>
        <v>-99926.91256615876</v>
      </c>
      <c r="M62" s="146">
        <f t="shared" si="32"/>
        <v>-114852.39450235233</v>
      </c>
      <c r="N62" s="147">
        <f t="shared" si="32"/>
        <v>-125880.69926784559</v>
      </c>
      <c r="O62" s="146">
        <f t="shared" si="32"/>
        <v>-138623.47799975661</v>
      </c>
      <c r="P62" s="147">
        <f t="shared" si="32"/>
        <v>-151693.43324603408</v>
      </c>
      <c r="Q62" s="146">
        <f t="shared" si="32"/>
        <v>-165094.79558168838</v>
      </c>
      <c r="R62" s="148">
        <f t="shared" si="32"/>
        <v>-178843.76282674205</v>
      </c>
      <c r="S62" s="149"/>
      <c r="T62" s="149"/>
      <c r="U62" s="149"/>
      <c r="V62" s="149"/>
      <c r="W62" s="149"/>
      <c r="X62" s="149"/>
    </row>
    <row r="63" spans="1:24">
      <c r="A63" s="98" t="s">
        <v>57</v>
      </c>
      <c r="B63" s="99" t="s">
        <v>83</v>
      </c>
      <c r="C63" s="99" t="s">
        <v>84</v>
      </c>
      <c r="D63" s="28"/>
      <c r="E63" s="142"/>
      <c r="F63" s="143"/>
      <c r="G63" s="143"/>
      <c r="H63" s="150">
        <v>0</v>
      </c>
      <c r="I63" s="152"/>
      <c r="J63" s="153"/>
      <c r="K63" s="152"/>
      <c r="L63" s="153"/>
      <c r="M63" s="152"/>
      <c r="N63" s="153"/>
      <c r="O63" s="152"/>
      <c r="P63" s="153"/>
      <c r="Q63" s="152"/>
      <c r="R63" s="154"/>
      <c r="S63" s="151"/>
      <c r="T63" s="151"/>
      <c r="U63" s="151"/>
      <c r="V63" s="151"/>
      <c r="W63" s="151"/>
      <c r="X63" s="151"/>
    </row>
    <row r="64" spans="1:24">
      <c r="A64" s="98" t="s">
        <v>57</v>
      </c>
      <c r="B64" s="99" t="s">
        <v>85</v>
      </c>
      <c r="C64" s="99" t="s">
        <v>86</v>
      </c>
      <c r="D64" s="28"/>
      <c r="E64" s="94"/>
      <c r="F64" s="135"/>
      <c r="G64" s="135"/>
      <c r="H64" s="155"/>
      <c r="I64" s="156"/>
      <c r="J64" s="157"/>
      <c r="K64" s="156"/>
      <c r="L64" s="157"/>
      <c r="M64" s="156"/>
      <c r="N64" s="157"/>
      <c r="O64" s="156"/>
      <c r="P64" s="157"/>
      <c r="Q64" s="156"/>
      <c r="R64" s="158"/>
      <c r="S64" s="159"/>
      <c r="T64" s="159"/>
      <c r="U64" s="159"/>
      <c r="V64" s="159"/>
      <c r="W64" s="159"/>
      <c r="X64" s="159"/>
    </row>
    <row r="65" spans="1:24" ht="25.5">
      <c r="A65" s="18"/>
      <c r="B65" s="71" t="s">
        <v>87</v>
      </c>
      <c r="C65" s="109" t="s">
        <v>88</v>
      </c>
      <c r="D65" s="160"/>
      <c r="E65" s="160"/>
      <c r="F65" s="73"/>
      <c r="G65" s="73"/>
      <c r="H65" s="74">
        <f>SUM(H60:H64)</f>
        <v>-148511.73000000001</v>
      </c>
      <c r="I65" s="75">
        <f>SUM(I60:I64)</f>
        <v>-10528.01999999999</v>
      </c>
      <c r="J65" s="76">
        <f>SUM(J60:J64)</f>
        <v>81413.180000000226</v>
      </c>
      <c r="K65" s="75">
        <f t="shared" ref="K65:N65" si="33">SUM(K60:K64)</f>
        <v>551325.70285999984</v>
      </c>
      <c r="L65" s="76">
        <f t="shared" si="33"/>
        <v>792500.1609723334</v>
      </c>
      <c r="M65" s="75">
        <f t="shared" si="33"/>
        <v>870858.94113734982</v>
      </c>
      <c r="N65" s="76">
        <f t="shared" si="33"/>
        <v>928757.54115618928</v>
      </c>
      <c r="O65" s="75">
        <f>SUM(O60:O64)</f>
        <v>995657.12949872203</v>
      </c>
      <c r="P65" s="76">
        <f>SUM(P60:P64)</f>
        <v>1064274.394541679</v>
      </c>
      <c r="Q65" s="75">
        <f t="shared" ref="Q65:X65" si="34">SUM(Q60:Q64)</f>
        <v>1134631.546803864</v>
      </c>
      <c r="R65" s="77">
        <f t="shared" si="34"/>
        <v>1206813.6248403955</v>
      </c>
      <c r="S65" s="161">
        <f t="shared" si="34"/>
        <v>1413809.4379414548</v>
      </c>
      <c r="T65" s="161" t="e">
        <f t="shared" si="34"/>
        <v>#REF!</v>
      </c>
      <c r="U65" s="161" t="e">
        <f t="shared" si="34"/>
        <v>#REF!</v>
      </c>
      <c r="V65" s="161" t="e">
        <f t="shared" si="34"/>
        <v>#REF!</v>
      </c>
      <c r="W65" s="161" t="e">
        <f t="shared" si="34"/>
        <v>#REF!</v>
      </c>
      <c r="X65" s="161" t="e">
        <f t="shared" si="34"/>
        <v>#REF!</v>
      </c>
    </row>
    <row r="66" spans="1:24">
      <c r="A66" s="18"/>
      <c r="B66" s="99"/>
      <c r="C66" s="99"/>
      <c r="D66" s="134"/>
      <c r="E66" s="94"/>
      <c r="F66" s="135"/>
      <c r="G66" s="162"/>
      <c r="H66" s="136"/>
      <c r="I66" s="137"/>
      <c r="J66" s="138"/>
      <c r="K66" s="137"/>
      <c r="L66" s="138"/>
      <c r="M66" s="137"/>
      <c r="N66" s="138"/>
      <c r="O66" s="137"/>
      <c r="P66" s="138"/>
      <c r="Q66" s="137"/>
      <c r="R66" s="139"/>
      <c r="S66" s="140"/>
      <c r="T66" s="140"/>
      <c r="U66" s="140"/>
      <c r="V66" s="140"/>
      <c r="W66" s="140"/>
      <c r="X66" s="140"/>
    </row>
    <row r="67" spans="1:24">
      <c r="A67" s="101" t="s">
        <v>89</v>
      </c>
      <c r="B67" s="71" t="s">
        <v>90</v>
      </c>
      <c r="C67" s="71" t="s">
        <v>91</v>
      </c>
      <c r="D67" s="134"/>
      <c r="E67" s="94"/>
      <c r="F67" s="135"/>
      <c r="G67" s="162"/>
      <c r="H67" s="136"/>
      <c r="I67" s="137"/>
      <c r="J67" s="138"/>
      <c r="K67" s="137"/>
      <c r="L67" s="138"/>
      <c r="M67" s="137"/>
      <c r="N67" s="138"/>
      <c r="O67" s="137"/>
      <c r="P67" s="138"/>
      <c r="Q67" s="137"/>
      <c r="R67" s="139"/>
      <c r="S67" s="140"/>
      <c r="T67" s="140"/>
      <c r="U67" s="140"/>
      <c r="V67" s="140"/>
      <c r="W67" s="140"/>
      <c r="X67" s="140"/>
    </row>
    <row r="68" spans="1:24" ht="25.5">
      <c r="A68" s="48" t="s">
        <v>8</v>
      </c>
      <c r="B68" s="99" t="s">
        <v>92</v>
      </c>
      <c r="C68" s="163" t="s">
        <v>93</v>
      </c>
      <c r="D68" s="28"/>
      <c r="E68" s="29"/>
      <c r="F68" s="30"/>
      <c r="G68" s="30"/>
      <c r="H68" s="31"/>
      <c r="I68" s="28">
        <v>0</v>
      </c>
      <c r="J68" s="32"/>
      <c r="K68" s="28">
        <v>0</v>
      </c>
      <c r="L68" s="32">
        <v>0</v>
      </c>
      <c r="M68" s="28">
        <v>0</v>
      </c>
      <c r="N68" s="32">
        <v>0</v>
      </c>
      <c r="O68" s="28">
        <v>0</v>
      </c>
      <c r="P68" s="32"/>
      <c r="Q68" s="28"/>
      <c r="R68" s="57"/>
      <c r="S68" s="30"/>
      <c r="T68" s="30"/>
      <c r="U68" s="30"/>
      <c r="V68" s="30"/>
      <c r="W68" s="30"/>
      <c r="X68" s="30"/>
    </row>
    <row r="69" spans="1:24">
      <c r="A69" s="98" t="s">
        <v>20</v>
      </c>
      <c r="B69" s="99" t="s">
        <v>94</v>
      </c>
      <c r="C69" s="99" t="s">
        <v>95</v>
      </c>
      <c r="D69" s="134"/>
      <c r="E69" s="142"/>
      <c r="F69" s="143"/>
      <c r="G69" s="143"/>
      <c r="H69" s="164">
        <f t="shared" ref="H69:X69" si="35">H51</f>
        <v>0</v>
      </c>
      <c r="I69" s="152">
        <f t="shared" si="35"/>
        <v>0</v>
      </c>
      <c r="J69" s="153">
        <f t="shared" si="35"/>
        <v>0</v>
      </c>
      <c r="K69" s="152">
        <f t="shared" si="35"/>
        <v>0</v>
      </c>
      <c r="L69" s="153">
        <f t="shared" si="35"/>
        <v>0</v>
      </c>
      <c r="M69" s="152">
        <f t="shared" si="35"/>
        <v>0</v>
      </c>
      <c r="N69" s="153">
        <f t="shared" si="35"/>
        <v>0</v>
      </c>
      <c r="O69" s="152">
        <f t="shared" si="35"/>
        <v>0</v>
      </c>
      <c r="P69" s="153">
        <f t="shared" si="35"/>
        <v>0</v>
      </c>
      <c r="Q69" s="152">
        <f t="shared" si="35"/>
        <v>0</v>
      </c>
      <c r="R69" s="154">
        <f t="shared" si="35"/>
        <v>0</v>
      </c>
      <c r="S69" s="151">
        <f t="shared" si="35"/>
        <v>0</v>
      </c>
      <c r="T69" s="151">
        <f t="shared" si="35"/>
        <v>0</v>
      </c>
      <c r="U69" s="151">
        <f t="shared" si="35"/>
        <v>0</v>
      </c>
      <c r="V69" s="151">
        <f t="shared" si="35"/>
        <v>0</v>
      </c>
      <c r="W69" s="151">
        <f t="shared" si="35"/>
        <v>0</v>
      </c>
      <c r="X69" s="151">
        <f t="shared" si="35"/>
        <v>0</v>
      </c>
    </row>
    <row r="70" spans="1:24">
      <c r="A70" s="98" t="s">
        <v>57</v>
      </c>
      <c r="B70" s="99" t="s">
        <v>96</v>
      </c>
      <c r="C70" s="163" t="s">
        <v>97</v>
      </c>
      <c r="D70" s="28"/>
      <c r="E70" s="29"/>
      <c r="F70" s="30"/>
      <c r="G70" s="30"/>
      <c r="H70" s="67"/>
      <c r="I70" s="68"/>
      <c r="J70" s="69"/>
      <c r="K70" s="68"/>
      <c r="L70" s="69"/>
      <c r="M70" s="68"/>
      <c r="N70" s="69"/>
      <c r="O70" s="68"/>
      <c r="P70" s="69"/>
      <c r="Q70" s="68"/>
      <c r="R70" s="165"/>
      <c r="S70" s="166"/>
      <c r="T70" s="166"/>
      <c r="U70" s="166"/>
      <c r="V70" s="166"/>
      <c r="W70" s="166"/>
      <c r="X70" s="166"/>
    </row>
    <row r="71" spans="1:24" ht="25.5">
      <c r="A71" s="18"/>
      <c r="B71" s="71" t="s">
        <v>98</v>
      </c>
      <c r="C71" s="109" t="s">
        <v>99</v>
      </c>
      <c r="D71" s="167"/>
      <c r="E71" s="160"/>
      <c r="F71" s="73"/>
      <c r="G71" s="168"/>
      <c r="H71" s="169">
        <f t="shared" ref="H71" si="36">SUM(H68:H70)-H69</f>
        <v>0</v>
      </c>
      <c r="I71" s="170"/>
      <c r="J71" s="171">
        <f t="shared" ref="J71:P71" si="37">SUM(J68:J70)</f>
        <v>0</v>
      </c>
      <c r="K71" s="170">
        <f t="shared" si="37"/>
        <v>0</v>
      </c>
      <c r="L71" s="171">
        <f t="shared" si="37"/>
        <v>0</v>
      </c>
      <c r="M71" s="170">
        <f t="shared" si="37"/>
        <v>0</v>
      </c>
      <c r="N71" s="171">
        <f t="shared" si="37"/>
        <v>0</v>
      </c>
      <c r="O71" s="170">
        <f t="shared" si="37"/>
        <v>0</v>
      </c>
      <c r="P71" s="171">
        <f t="shared" si="37"/>
        <v>0</v>
      </c>
      <c r="Q71" s="170">
        <f t="shared" ref="Q71:X71" si="38">SUM(Q68:Q70)</f>
        <v>0</v>
      </c>
      <c r="R71" s="172">
        <f t="shared" si="38"/>
        <v>0</v>
      </c>
      <c r="S71" s="173">
        <f t="shared" si="38"/>
        <v>0</v>
      </c>
      <c r="T71" s="173">
        <f t="shared" si="38"/>
        <v>0</v>
      </c>
      <c r="U71" s="173">
        <f t="shared" si="38"/>
        <v>0</v>
      </c>
      <c r="V71" s="173">
        <f t="shared" si="38"/>
        <v>0</v>
      </c>
      <c r="W71" s="173">
        <f t="shared" si="38"/>
        <v>0</v>
      </c>
      <c r="X71" s="173">
        <f t="shared" si="38"/>
        <v>0</v>
      </c>
    </row>
    <row r="72" spans="1:24">
      <c r="A72" s="18"/>
      <c r="B72" s="99"/>
      <c r="C72" s="99"/>
      <c r="D72" s="134"/>
      <c r="E72" s="94"/>
      <c r="F72" s="135"/>
      <c r="G72" s="162"/>
      <c r="H72" s="136"/>
      <c r="I72" s="137"/>
      <c r="J72" s="138"/>
      <c r="K72" s="137"/>
      <c r="L72" s="138"/>
      <c r="M72" s="137"/>
      <c r="N72" s="138"/>
      <c r="O72" s="137"/>
      <c r="P72" s="138"/>
      <c r="Q72" s="137"/>
      <c r="R72" s="139"/>
      <c r="S72" s="140"/>
      <c r="T72" s="140"/>
      <c r="U72" s="140"/>
      <c r="V72" s="140"/>
      <c r="W72" s="140"/>
      <c r="X72" s="140"/>
    </row>
    <row r="73" spans="1:24">
      <c r="A73" s="101" t="s">
        <v>100</v>
      </c>
      <c r="B73" s="71" t="s">
        <v>101</v>
      </c>
      <c r="C73" s="71" t="s">
        <v>102</v>
      </c>
      <c r="D73" s="134"/>
      <c r="E73" s="94"/>
      <c r="F73" s="135"/>
      <c r="G73" s="162"/>
      <c r="H73" s="136"/>
      <c r="I73" s="137"/>
      <c r="J73" s="138"/>
      <c r="K73" s="137"/>
      <c r="L73" s="138"/>
      <c r="M73" s="137"/>
      <c r="N73" s="138"/>
      <c r="O73" s="137"/>
      <c r="P73" s="138"/>
      <c r="Q73" s="137"/>
      <c r="R73" s="139"/>
      <c r="S73" s="140"/>
      <c r="T73" s="140"/>
      <c r="U73" s="140"/>
      <c r="V73" s="140"/>
      <c r="W73" s="140"/>
      <c r="X73" s="140"/>
    </row>
    <row r="74" spans="1:24" ht="25.5" hidden="1">
      <c r="A74" s="174" t="s">
        <v>20</v>
      </c>
      <c r="B74" s="99" t="s">
        <v>103</v>
      </c>
      <c r="C74" s="99" t="s">
        <v>104</v>
      </c>
      <c r="D74" s="28"/>
      <c r="E74" s="29"/>
      <c r="F74" s="30"/>
      <c r="G74" s="30"/>
      <c r="H74" s="31"/>
      <c r="I74" s="28"/>
      <c r="J74" s="64"/>
      <c r="K74" s="28"/>
      <c r="L74" s="32"/>
      <c r="M74" s="28"/>
      <c r="N74" s="32"/>
      <c r="O74" s="28"/>
      <c r="P74" s="32"/>
      <c r="Q74" s="28"/>
      <c r="R74" s="33"/>
      <c r="S74" s="34"/>
      <c r="T74" s="34"/>
      <c r="U74" s="34"/>
      <c r="V74" s="34"/>
      <c r="W74" s="34"/>
      <c r="X74" s="34"/>
    </row>
    <row r="75" spans="1:24" ht="25.5" hidden="1">
      <c r="A75" s="48" t="s">
        <v>8</v>
      </c>
      <c r="B75" s="99" t="s">
        <v>105</v>
      </c>
      <c r="C75" s="99" t="s">
        <v>106</v>
      </c>
      <c r="D75" s="28"/>
      <c r="E75" s="29"/>
      <c r="F75" s="30"/>
      <c r="G75" s="30"/>
      <c r="H75" s="31">
        <f t="shared" ref="H75" si="39">-H69</f>
        <v>0</v>
      </c>
      <c r="I75" s="28"/>
      <c r="J75" s="64"/>
      <c r="K75" s="28"/>
      <c r="L75" s="32"/>
      <c r="M75" s="28"/>
      <c r="N75" s="32"/>
      <c r="O75" s="28"/>
      <c r="P75" s="32"/>
      <c r="Q75" s="28"/>
      <c r="R75" s="33"/>
      <c r="S75" s="34"/>
      <c r="T75" s="34"/>
      <c r="U75" s="34"/>
      <c r="V75" s="34"/>
      <c r="W75" s="34"/>
      <c r="X75" s="34"/>
    </row>
    <row r="76" spans="1:24" ht="25.5" hidden="1">
      <c r="A76" s="56" t="s">
        <v>8</v>
      </c>
      <c r="B76" s="99"/>
      <c r="C76" s="99" t="s">
        <v>107</v>
      </c>
      <c r="D76" s="28"/>
      <c r="E76" s="29"/>
      <c r="F76" s="30"/>
      <c r="G76" s="30"/>
      <c r="H76" s="31"/>
      <c r="I76" s="28"/>
      <c r="J76" s="64"/>
      <c r="K76" s="28"/>
      <c r="L76" s="32"/>
      <c r="M76" s="28"/>
      <c r="N76" s="32"/>
      <c r="O76" s="28"/>
      <c r="P76" s="32"/>
      <c r="Q76" s="28"/>
      <c r="R76" s="33"/>
      <c r="S76" s="34"/>
      <c r="T76" s="34"/>
      <c r="U76" s="34"/>
      <c r="V76" s="34"/>
      <c r="W76" s="34"/>
      <c r="X76" s="34"/>
    </row>
    <row r="77" spans="1:24" ht="25.5" hidden="1">
      <c r="A77" s="174" t="s">
        <v>20</v>
      </c>
      <c r="B77" s="99" t="s">
        <v>108</v>
      </c>
      <c r="C77" s="99" t="s">
        <v>109</v>
      </c>
      <c r="D77" s="28"/>
      <c r="E77" s="29"/>
      <c r="F77" s="30"/>
      <c r="G77" s="30"/>
      <c r="H77" s="31">
        <v>0</v>
      </c>
      <c r="I77" s="28"/>
      <c r="J77" s="32"/>
      <c r="K77" s="28"/>
      <c r="L77" s="32"/>
      <c r="M77" s="28"/>
      <c r="N77" s="32"/>
      <c r="O77" s="28"/>
      <c r="P77" s="32"/>
      <c r="Q77" s="28"/>
      <c r="R77" s="33"/>
      <c r="S77" s="34"/>
      <c r="T77" s="34"/>
      <c r="U77" s="34"/>
      <c r="V77" s="34"/>
      <c r="W77" s="34"/>
      <c r="X77" s="34"/>
    </row>
    <row r="78" spans="1:24" hidden="1">
      <c r="A78" s="18" t="s">
        <v>110</v>
      </c>
      <c r="B78" s="99"/>
      <c r="C78" s="99" t="s">
        <v>111</v>
      </c>
      <c r="D78" s="28"/>
      <c r="E78" s="29"/>
      <c r="F78" s="30"/>
      <c r="G78" s="30"/>
      <c r="H78" s="31"/>
      <c r="I78" s="28"/>
      <c r="J78" s="32"/>
      <c r="K78" s="28"/>
      <c r="L78" s="32"/>
      <c r="M78" s="28"/>
      <c r="N78" s="32"/>
      <c r="O78" s="28"/>
      <c r="P78" s="32"/>
      <c r="Q78" s="28"/>
      <c r="R78" s="33"/>
      <c r="S78" s="34"/>
      <c r="T78" s="34"/>
      <c r="U78" s="34"/>
      <c r="V78" s="34"/>
      <c r="W78" s="34"/>
      <c r="X78" s="34"/>
    </row>
    <row r="79" spans="1:24" ht="25.5">
      <c r="A79" s="48" t="s">
        <v>8</v>
      </c>
      <c r="B79" s="99" t="s">
        <v>112</v>
      </c>
      <c r="C79" s="99" t="s">
        <v>113</v>
      </c>
      <c r="D79" s="28"/>
      <c r="E79" s="29"/>
      <c r="F79" s="30"/>
      <c r="G79" s="30"/>
      <c r="H79" s="31">
        <v>0</v>
      </c>
      <c r="I79" s="28">
        <v>0</v>
      </c>
      <c r="J79" s="32">
        <v>0</v>
      </c>
      <c r="K79" s="28">
        <f>'[2]CF SUSA'!V71</f>
        <v>0</v>
      </c>
      <c r="L79" s="32">
        <f>'[2]CF SUSA'!W71</f>
        <v>-250000</v>
      </c>
      <c r="M79" s="28">
        <f>'[2]CF SUSA'!X71</f>
        <v>-428571.4285714287</v>
      </c>
      <c r="N79" s="32">
        <f>'[2]CF SUSA'!Y71</f>
        <v>-428571.4285714287</v>
      </c>
      <c r="O79" s="28">
        <f>'[2]CF SUSA'!Z71</f>
        <v>-428571.4285714287</v>
      </c>
      <c r="P79" s="32">
        <f>'[2]CF SUSA'!AA71</f>
        <v>-428571.4285714287</v>
      </c>
      <c r="Q79" s="28">
        <f>'[2]CF SUSA'!AB71</f>
        <v>-428571.4285714287</v>
      </c>
      <c r="R79" s="33">
        <f>'[2]CF SUSA'!AC71</f>
        <v>-428571.4285714287</v>
      </c>
      <c r="S79" s="34">
        <f>'[2]CF SUSA'!AD71</f>
        <v>-178571.42857142858</v>
      </c>
      <c r="T79" s="34">
        <f>-'[2]grafic rambursare credit 10 ani'!R11</f>
        <v>0</v>
      </c>
      <c r="U79" s="34">
        <f>-'[2]grafic rambursare credit 10 ani'!S11</f>
        <v>0</v>
      </c>
      <c r="V79" s="34">
        <f>-'[2]grafic rambursare credit 10 ani'!T11</f>
        <v>0</v>
      </c>
      <c r="W79" s="34">
        <f>-'[2]grafic rambursare credit 10 ani'!U11</f>
        <v>0</v>
      </c>
      <c r="X79" s="34">
        <f>-'[2]grafic rambursare credit 10 ani'!V11</f>
        <v>0</v>
      </c>
    </row>
    <row r="80" spans="1:24">
      <c r="A80" s="48" t="s">
        <v>8</v>
      </c>
      <c r="B80" s="99" t="s">
        <v>112</v>
      </c>
      <c r="C80" s="99" t="s">
        <v>114</v>
      </c>
      <c r="D80" s="28"/>
      <c r="E80" s="29"/>
      <c r="F80" s="30"/>
      <c r="G80" s="30"/>
      <c r="H80" s="31"/>
      <c r="I80" s="28">
        <v>0</v>
      </c>
      <c r="J80" s="64"/>
      <c r="K80" s="28"/>
      <c r="L80" s="32"/>
      <c r="M80" s="28"/>
      <c r="N80" s="32"/>
      <c r="O80" s="28"/>
      <c r="P80" s="32"/>
      <c r="Q80" s="28"/>
      <c r="R80" s="33"/>
      <c r="S80" s="34"/>
      <c r="T80" s="34"/>
      <c r="U80" s="34"/>
      <c r="V80" s="34"/>
      <c r="W80" s="34"/>
      <c r="X80" s="34"/>
    </row>
    <row r="81" spans="1:24" ht="25.5" hidden="1">
      <c r="A81" s="98" t="s">
        <v>20</v>
      </c>
      <c r="B81" s="99" t="s">
        <v>115</v>
      </c>
      <c r="C81" s="175" t="s">
        <v>116</v>
      </c>
      <c r="D81" s="28"/>
      <c r="E81" s="29"/>
      <c r="F81" s="30"/>
      <c r="G81" s="30"/>
      <c r="H81" s="31">
        <v>0</v>
      </c>
      <c r="I81" s="28"/>
      <c r="J81" s="32"/>
      <c r="K81" s="28"/>
      <c r="L81" s="32"/>
      <c r="M81" s="28"/>
      <c r="N81" s="32"/>
      <c r="O81" s="28"/>
      <c r="P81" s="32"/>
      <c r="Q81" s="28"/>
      <c r="R81" s="33"/>
      <c r="S81" s="34"/>
      <c r="T81" s="34"/>
      <c r="U81" s="34"/>
      <c r="V81" s="34"/>
      <c r="W81" s="34"/>
      <c r="X81" s="34"/>
    </row>
    <row r="82" spans="1:24" ht="25.5" hidden="1">
      <c r="A82" s="101" t="s">
        <v>8</v>
      </c>
      <c r="B82" s="99" t="s">
        <v>117</v>
      </c>
      <c r="C82" s="99" t="s">
        <v>118</v>
      </c>
      <c r="D82" s="28"/>
      <c r="E82" s="176"/>
      <c r="F82" s="30"/>
      <c r="G82" s="30"/>
      <c r="H82" s="31"/>
      <c r="I82" s="28">
        <v>0</v>
      </c>
      <c r="J82" s="32"/>
      <c r="K82" s="28"/>
      <c r="L82" s="32"/>
      <c r="M82" s="28"/>
      <c r="N82" s="32"/>
      <c r="O82" s="28"/>
      <c r="P82" s="32"/>
      <c r="Q82" s="28"/>
      <c r="R82" s="33"/>
      <c r="S82" s="34"/>
      <c r="T82" s="34"/>
      <c r="U82" s="34"/>
      <c r="V82" s="34"/>
      <c r="W82" s="34"/>
      <c r="X82" s="34"/>
    </row>
    <row r="83" spans="1:24">
      <c r="A83" s="98" t="s">
        <v>57</v>
      </c>
      <c r="B83" s="99" t="s">
        <v>119</v>
      </c>
      <c r="C83" s="99" t="s">
        <v>120</v>
      </c>
      <c r="D83" s="28"/>
      <c r="E83" s="29"/>
      <c r="F83" s="30"/>
      <c r="G83" s="30"/>
      <c r="H83" s="31"/>
      <c r="I83" s="28">
        <v>0</v>
      </c>
      <c r="J83" s="64"/>
      <c r="K83" s="28"/>
      <c r="L83" s="32"/>
      <c r="M83" s="28"/>
      <c r="N83" s="32"/>
      <c r="O83" s="28"/>
      <c r="P83" s="32"/>
      <c r="Q83" s="28"/>
      <c r="R83" s="33"/>
      <c r="S83" s="34"/>
      <c r="T83" s="34"/>
      <c r="U83" s="34"/>
      <c r="V83" s="34"/>
      <c r="W83" s="34"/>
      <c r="X83" s="34"/>
    </row>
    <row r="84" spans="1:24">
      <c r="A84" s="18"/>
      <c r="B84" s="71" t="s">
        <v>121</v>
      </c>
      <c r="C84" s="177" t="s">
        <v>122</v>
      </c>
      <c r="D84" s="167"/>
      <c r="E84" s="160"/>
      <c r="F84" s="73"/>
      <c r="G84" s="168"/>
      <c r="H84" s="169">
        <f t="shared" ref="H84:X84" si="40">SUM(H74:H83)</f>
        <v>0</v>
      </c>
      <c r="I84" s="170">
        <f>SUM(I74:I83)</f>
        <v>0</v>
      </c>
      <c r="J84" s="171">
        <f t="shared" si="40"/>
        <v>0</v>
      </c>
      <c r="K84" s="170">
        <f t="shared" si="40"/>
        <v>0</v>
      </c>
      <c r="L84" s="171">
        <f t="shared" si="40"/>
        <v>-250000</v>
      </c>
      <c r="M84" s="170">
        <f t="shared" si="40"/>
        <v>-428571.4285714287</v>
      </c>
      <c r="N84" s="171">
        <f t="shared" si="40"/>
        <v>-428571.4285714287</v>
      </c>
      <c r="O84" s="170">
        <f t="shared" si="40"/>
        <v>-428571.4285714287</v>
      </c>
      <c r="P84" s="171">
        <f t="shared" si="40"/>
        <v>-428571.4285714287</v>
      </c>
      <c r="Q84" s="170">
        <f t="shared" si="40"/>
        <v>-428571.4285714287</v>
      </c>
      <c r="R84" s="172">
        <f t="shared" si="40"/>
        <v>-428571.4285714287</v>
      </c>
      <c r="S84" s="173">
        <f t="shared" si="40"/>
        <v>-178571.42857142858</v>
      </c>
      <c r="T84" s="173">
        <f t="shared" si="40"/>
        <v>0</v>
      </c>
      <c r="U84" s="173">
        <f t="shared" si="40"/>
        <v>0</v>
      </c>
      <c r="V84" s="173">
        <f t="shared" si="40"/>
        <v>0</v>
      </c>
      <c r="W84" s="173">
        <f t="shared" si="40"/>
        <v>0</v>
      </c>
      <c r="X84" s="173">
        <f t="shared" si="40"/>
        <v>0</v>
      </c>
    </row>
    <row r="85" spans="1:24">
      <c r="A85" s="18"/>
      <c r="B85" s="99"/>
      <c r="C85" s="99"/>
      <c r="D85" s="134"/>
      <c r="E85" s="94"/>
      <c r="F85" s="135"/>
      <c r="G85" s="162"/>
      <c r="H85" s="136"/>
      <c r="I85" s="137"/>
      <c r="J85" s="138"/>
      <c r="K85" s="137"/>
      <c r="L85" s="138"/>
      <c r="M85" s="137"/>
      <c r="N85" s="138"/>
      <c r="O85" s="137"/>
      <c r="P85" s="138"/>
      <c r="Q85" s="137"/>
      <c r="R85" s="139"/>
      <c r="S85" s="140"/>
      <c r="T85" s="140"/>
      <c r="U85" s="140"/>
      <c r="V85" s="140"/>
      <c r="W85" s="140"/>
      <c r="X85" s="140"/>
    </row>
    <row r="86" spans="1:24" s="188" customFormat="1">
      <c r="A86" s="178"/>
      <c r="B86" s="179" t="s">
        <v>123</v>
      </c>
      <c r="C86" s="179" t="s">
        <v>124</v>
      </c>
      <c r="D86" s="180"/>
      <c r="E86" s="181"/>
      <c r="F86" s="182"/>
      <c r="G86" s="182"/>
      <c r="H86" s="183">
        <v>0</v>
      </c>
      <c r="I86" s="184">
        <v>0</v>
      </c>
      <c r="J86" s="185">
        <v>0</v>
      </c>
      <c r="K86" s="184">
        <f t="shared" ref="K86:X86" si="41">SUM(K65,K71,K84)</f>
        <v>551325.70285999984</v>
      </c>
      <c r="L86" s="185">
        <f t="shared" si="41"/>
        <v>542500.1609723334</v>
      </c>
      <c r="M86" s="184">
        <f t="shared" si="41"/>
        <v>442287.51256592112</v>
      </c>
      <c r="N86" s="185">
        <f t="shared" si="41"/>
        <v>500186.11258476059</v>
      </c>
      <c r="O86" s="184">
        <f t="shared" si="41"/>
        <v>567085.70092729339</v>
      </c>
      <c r="P86" s="185">
        <f t="shared" si="41"/>
        <v>635702.96597025031</v>
      </c>
      <c r="Q86" s="184">
        <f t="shared" si="41"/>
        <v>706060.11823243531</v>
      </c>
      <c r="R86" s="186">
        <f t="shared" si="41"/>
        <v>778242.19626896689</v>
      </c>
      <c r="S86" s="187">
        <f t="shared" si="41"/>
        <v>1235238.0093700262</v>
      </c>
      <c r="T86" s="187" t="e">
        <f t="shared" si="41"/>
        <v>#REF!</v>
      </c>
      <c r="U86" s="187" t="e">
        <f t="shared" si="41"/>
        <v>#REF!</v>
      </c>
      <c r="V86" s="187" t="e">
        <f t="shared" si="41"/>
        <v>#REF!</v>
      </c>
      <c r="W86" s="187" t="e">
        <f t="shared" si="41"/>
        <v>#REF!</v>
      </c>
      <c r="X86" s="187" t="e">
        <f t="shared" si="41"/>
        <v>#REF!</v>
      </c>
    </row>
    <row r="87" spans="1:24">
      <c r="A87" s="18"/>
      <c r="B87" s="71" t="s">
        <v>125</v>
      </c>
      <c r="C87" s="71" t="s">
        <v>126</v>
      </c>
      <c r="D87" s="52"/>
      <c r="E87" s="160"/>
      <c r="F87" s="73"/>
      <c r="G87" s="73"/>
      <c r="H87" s="74">
        <v>0</v>
      </c>
      <c r="I87" s="75">
        <f>H88</f>
        <v>0</v>
      </c>
      <c r="J87" s="76">
        <f>I88</f>
        <v>0</v>
      </c>
      <c r="K87" s="75">
        <f t="shared" ref="K87:X87" si="42">J88</f>
        <v>0</v>
      </c>
      <c r="L87" s="76">
        <f t="shared" si="42"/>
        <v>551325.70285999984</v>
      </c>
      <c r="M87" s="75">
        <f t="shared" si="42"/>
        <v>1093825.8638323331</v>
      </c>
      <c r="N87" s="76">
        <f t="shared" si="42"/>
        <v>1536113.3763982542</v>
      </c>
      <c r="O87" s="75">
        <f t="shared" si="42"/>
        <v>2036299.4889830148</v>
      </c>
      <c r="P87" s="76">
        <f t="shared" si="42"/>
        <v>2603385.1899103085</v>
      </c>
      <c r="Q87" s="75">
        <f t="shared" si="42"/>
        <v>3239088.1558805588</v>
      </c>
      <c r="R87" s="77">
        <f t="shared" si="42"/>
        <v>3945148.2741129939</v>
      </c>
      <c r="S87" s="161">
        <f t="shared" si="42"/>
        <v>4723390.4703819603</v>
      </c>
      <c r="T87" s="161">
        <f t="shared" si="42"/>
        <v>5958628.4797519865</v>
      </c>
      <c r="U87" s="161" t="e">
        <f t="shared" si="42"/>
        <v>#REF!</v>
      </c>
      <c r="V87" s="161" t="e">
        <f t="shared" si="42"/>
        <v>#REF!</v>
      </c>
      <c r="W87" s="161" t="e">
        <f t="shared" si="42"/>
        <v>#REF!</v>
      </c>
      <c r="X87" s="161" t="e">
        <f t="shared" si="42"/>
        <v>#REF!</v>
      </c>
    </row>
    <row r="88" spans="1:24" ht="13.5" thickBot="1">
      <c r="A88" s="110"/>
      <c r="B88" s="189" t="s">
        <v>127</v>
      </c>
      <c r="C88" s="190" t="s">
        <v>128</v>
      </c>
      <c r="D88" s="191"/>
      <c r="E88" s="192"/>
      <c r="F88" s="193"/>
      <c r="G88" s="193"/>
      <c r="H88" s="194">
        <f>SUM(H86:H87)</f>
        <v>0</v>
      </c>
      <c r="I88" s="195">
        <f>SUM(I86:I87)</f>
        <v>0</v>
      </c>
      <c r="J88" s="196">
        <f t="shared" ref="J88:X88" si="43">SUM(J86:J87)</f>
        <v>0</v>
      </c>
      <c r="K88" s="195">
        <f t="shared" si="43"/>
        <v>551325.70285999984</v>
      </c>
      <c r="L88" s="196">
        <f t="shared" si="43"/>
        <v>1093825.8638323331</v>
      </c>
      <c r="M88" s="195">
        <f t="shared" si="43"/>
        <v>1536113.3763982542</v>
      </c>
      <c r="N88" s="196">
        <f t="shared" si="43"/>
        <v>2036299.4889830148</v>
      </c>
      <c r="O88" s="195">
        <f t="shared" si="43"/>
        <v>2603385.1899103085</v>
      </c>
      <c r="P88" s="196">
        <f t="shared" si="43"/>
        <v>3239088.1558805588</v>
      </c>
      <c r="Q88" s="195">
        <f t="shared" si="43"/>
        <v>3945148.2741129939</v>
      </c>
      <c r="R88" s="197">
        <f t="shared" si="43"/>
        <v>4723390.4703819603</v>
      </c>
      <c r="S88" s="198">
        <f t="shared" si="43"/>
        <v>5958628.4797519865</v>
      </c>
      <c r="T88" s="198" t="e">
        <f t="shared" si="43"/>
        <v>#REF!</v>
      </c>
      <c r="U88" s="198" t="e">
        <f t="shared" si="43"/>
        <v>#REF!</v>
      </c>
      <c r="V88" s="198" t="e">
        <f t="shared" si="43"/>
        <v>#REF!</v>
      </c>
      <c r="W88" s="198" t="e">
        <f t="shared" si="43"/>
        <v>#REF!</v>
      </c>
      <c r="X88" s="198" t="e">
        <f t="shared" si="43"/>
        <v>#REF!</v>
      </c>
    </row>
    <row r="89" spans="1:24">
      <c r="A89" s="199"/>
      <c r="B89" s="200"/>
      <c r="C89" s="200"/>
      <c r="D89" s="201"/>
      <c r="E89" s="202"/>
      <c r="F89" s="203"/>
      <c r="G89" s="203"/>
      <c r="H89" s="204"/>
      <c r="I89" s="204"/>
      <c r="J89" s="204"/>
      <c r="K89" s="204"/>
      <c r="L89" s="204"/>
      <c r="M89" s="204"/>
      <c r="N89" s="204"/>
      <c r="O89" s="204"/>
      <c r="P89" s="204"/>
      <c r="Q89" s="204"/>
      <c r="R89" s="204"/>
      <c r="S89" s="204"/>
      <c r="T89" s="204"/>
      <c r="U89" s="204"/>
      <c r="V89" s="204"/>
    </row>
    <row r="90" spans="1:24" ht="13.5" thickBot="1"/>
    <row r="91" spans="1:24">
      <c r="B91" s="1" t="s">
        <v>129</v>
      </c>
      <c r="C91" s="206"/>
      <c r="D91" s="207">
        <f t="shared" ref="D91:S91" si="44">(D60+D62+D63+D71+D74+D77+D81+D83)</f>
        <v>0</v>
      </c>
      <c r="E91" s="207">
        <f t="shared" si="44"/>
        <v>0</v>
      </c>
      <c r="F91" s="207">
        <f t="shared" si="44"/>
        <v>0</v>
      </c>
      <c r="G91" s="207">
        <f t="shared" si="44"/>
        <v>0</v>
      </c>
      <c r="H91" s="203">
        <f>(H60+H62+H63+H71+H74+H77+H81+H83)</f>
        <v>-148511.73000000001</v>
      </c>
      <c r="I91" s="203">
        <f t="shared" si="44"/>
        <v>-10528.01999999999</v>
      </c>
      <c r="J91" s="203">
        <f t="shared" si="44"/>
        <v>81413.180000000226</v>
      </c>
      <c r="K91" s="203">
        <f t="shared" si="44"/>
        <v>591360.70285999984</v>
      </c>
      <c r="L91" s="203">
        <f t="shared" si="44"/>
        <v>884264.16890884133</v>
      </c>
      <c r="M91" s="203">
        <f t="shared" si="44"/>
        <v>937882.98875639739</v>
      </c>
      <c r="N91" s="203">
        <f t="shared" si="44"/>
        <v>968493.49353714171</v>
      </c>
      <c r="O91" s="203">
        <f t="shared" si="44"/>
        <v>1008104.9866415793</v>
      </c>
      <c r="P91" s="203">
        <f t="shared" si="44"/>
        <v>1049421.6961289807</v>
      </c>
      <c r="Q91" s="203">
        <f t="shared" si="44"/>
        <v>1092503.2134705307</v>
      </c>
      <c r="R91" s="208">
        <f t="shared" si="44"/>
        <v>1137397.1962689671</v>
      </c>
      <c r="S91" s="208">
        <f t="shared" si="44"/>
        <v>1377107.5728620898</v>
      </c>
    </row>
    <row r="92" spans="1:24">
      <c r="B92" s="209" t="s">
        <v>130</v>
      </c>
      <c r="C92" s="210"/>
      <c r="D92" s="209">
        <f>(-D75-D79-D61)</f>
        <v>0</v>
      </c>
      <c r="E92" s="209">
        <f>(-E75-E79-E61-E80)</f>
        <v>0</v>
      </c>
      <c r="F92" s="209">
        <f t="shared" ref="F92:H92" si="45">(-F75-F79-F61-F80)</f>
        <v>0</v>
      </c>
      <c r="G92" s="209">
        <f t="shared" si="45"/>
        <v>0</v>
      </c>
      <c r="H92" s="135">
        <f t="shared" si="45"/>
        <v>0</v>
      </c>
      <c r="I92" s="135">
        <f>(-I75-I79-I61-I80)</f>
        <v>0</v>
      </c>
      <c r="J92" s="135">
        <f t="shared" ref="J92:S92" si="46">(-J75-J79-J61-J80)</f>
        <v>0</v>
      </c>
      <c r="K92" s="135">
        <f t="shared" si="46"/>
        <v>40034.999999999993</v>
      </c>
      <c r="L92" s="135">
        <f t="shared" si="46"/>
        <v>341764.00793650793</v>
      </c>
      <c r="M92" s="135">
        <f t="shared" si="46"/>
        <v>495595.47619047633</v>
      </c>
      <c r="N92" s="135">
        <f t="shared" si="46"/>
        <v>468307.38095238112</v>
      </c>
      <c r="O92" s="135">
        <f t="shared" si="46"/>
        <v>441019.28571428591</v>
      </c>
      <c r="P92" s="135">
        <f t="shared" si="46"/>
        <v>413718.73015873035</v>
      </c>
      <c r="Q92" s="135">
        <f t="shared" si="46"/>
        <v>386443.09523809538</v>
      </c>
      <c r="R92" s="211">
        <f t="shared" si="46"/>
        <v>359155.00000000023</v>
      </c>
      <c r="S92" s="211">
        <f t="shared" si="46"/>
        <v>141869.56349206355</v>
      </c>
    </row>
    <row r="93" spans="1:24">
      <c r="B93" s="212" t="s">
        <v>131</v>
      </c>
      <c r="C93" s="213" t="s">
        <v>131</v>
      </c>
      <c r="D93" s="214" t="e">
        <f>D91/D92</f>
        <v>#DIV/0!</v>
      </c>
      <c r="E93" s="214" t="e">
        <f t="shared" ref="E93:F93" si="47">E91/E92</f>
        <v>#DIV/0!</v>
      </c>
      <c r="F93" s="214" t="e">
        <f t="shared" si="47"/>
        <v>#DIV/0!</v>
      </c>
      <c r="G93" s="214" t="e">
        <f>G91/G92</f>
        <v>#DIV/0!</v>
      </c>
      <c r="H93" s="214" t="e">
        <f>H91/H92</f>
        <v>#DIV/0!</v>
      </c>
      <c r="I93" s="214" t="e">
        <f>I91/I92</f>
        <v>#DIV/0!</v>
      </c>
      <c r="J93" s="214" t="e">
        <f t="shared" ref="J93:S93" si="48">J91/J92</f>
        <v>#DIV/0!</v>
      </c>
      <c r="K93" s="214">
        <f t="shared" si="48"/>
        <v>14.771092865242911</v>
      </c>
      <c r="L93" s="214">
        <f t="shared" si="48"/>
        <v>2.5873531102582277</v>
      </c>
      <c r="M93" s="214">
        <f t="shared" si="48"/>
        <v>1.8924365411195421</v>
      </c>
      <c r="N93" s="214">
        <f t="shared" si="48"/>
        <v>2.0680722382968826</v>
      </c>
      <c r="O93" s="214">
        <f t="shared" si="48"/>
        <v>2.2858523862711064</v>
      </c>
      <c r="P93" s="214">
        <f t="shared" si="48"/>
        <v>2.5365583417660398</v>
      </c>
      <c r="Q93" s="214">
        <f t="shared" si="48"/>
        <v>2.8270739649195114</v>
      </c>
      <c r="R93" s="215">
        <f t="shared" si="48"/>
        <v>3.1668700039508466</v>
      </c>
      <c r="S93" s="215">
        <f t="shared" si="48"/>
        <v>9.7068570521056685</v>
      </c>
    </row>
    <row r="94" spans="1:24" s="220" customFormat="1" ht="51" customHeight="1" thickBot="1">
      <c r="A94" s="216"/>
      <c r="B94" s="212" t="s">
        <v>132</v>
      </c>
      <c r="C94" s="217" t="s">
        <v>133</v>
      </c>
      <c r="D94" s="218" t="e">
        <f>(D60+D62+D63+D71+D74+D77+D81+D87+D83)/(-D75-D79-D61)</f>
        <v>#DIV/0!</v>
      </c>
      <c r="E94" s="218" t="e">
        <f>(E60+E62+E63+E71+E74+E77+E81+E87+E83)/(-E75-E79-E80-E61)</f>
        <v>#DIV/0!</v>
      </c>
      <c r="F94" s="218" t="e">
        <f t="shared" ref="F94:S94" si="49">(F60+F62+F63+F71+F74+F77+F81+F87+F83)/(-F75-F79-F80-F61)</f>
        <v>#DIV/0!</v>
      </c>
      <c r="G94" s="218" t="e">
        <f t="shared" si="49"/>
        <v>#DIV/0!</v>
      </c>
      <c r="H94" s="218" t="e">
        <f t="shared" si="49"/>
        <v>#DIV/0!</v>
      </c>
      <c r="I94" s="218" t="e">
        <f t="shared" si="49"/>
        <v>#DIV/0!</v>
      </c>
      <c r="J94" s="218" t="e">
        <f t="shared" si="49"/>
        <v>#DIV/0!</v>
      </c>
      <c r="K94" s="218">
        <f t="shared" si="49"/>
        <v>14.771092865242911</v>
      </c>
      <c r="L94" s="218">
        <f t="shared" si="49"/>
        <v>4.2005297176744874</v>
      </c>
      <c r="M94" s="218">
        <f t="shared" si="49"/>
        <v>4.0995306660302662</v>
      </c>
      <c r="N94" s="218">
        <f t="shared" si="49"/>
        <v>5.348211392359139</v>
      </c>
      <c r="O94" s="218">
        <f t="shared" si="49"/>
        <v>6.9031096240922887</v>
      </c>
      <c r="P94" s="218">
        <f t="shared" si="49"/>
        <v>8.8292035621346567</v>
      </c>
      <c r="Q94" s="218">
        <f t="shared" si="49"/>
        <v>11.208872464605191</v>
      </c>
      <c r="R94" s="219">
        <f t="shared" si="49"/>
        <v>14.151398338828523</v>
      </c>
      <c r="S94" s="219">
        <f t="shared" si="49"/>
        <v>43.000752896411946</v>
      </c>
    </row>
    <row r="95" spans="1:24">
      <c r="B95" s="221"/>
    </row>
    <row r="101" spans="6:7">
      <c r="F101" s="222">
        <v>4.9000000000000004</v>
      </c>
      <c r="G101" s="223"/>
    </row>
    <row r="102" spans="6:7">
      <c r="F102" s="222">
        <f>62.91/2.66</f>
        <v>23.650375939849621</v>
      </c>
      <c r="G102" s="223"/>
    </row>
    <row r="103" spans="6:7">
      <c r="F103" s="222">
        <f>62.91/22</f>
        <v>2.8595454545454544</v>
      </c>
      <c r="G103" s="223"/>
    </row>
    <row r="104" spans="6:7">
      <c r="F104" s="222"/>
      <c r="G104" s="223"/>
    </row>
  </sheetData>
  <sheetProtection formatCells="0" formatColumns="0" formatRows="0" insertRows="0"/>
  <mergeCells count="1">
    <mergeCell ref="C1:M1"/>
  </mergeCells>
  <pageMargins left="0.17" right="0.26" top="0.22" bottom="0.21" header="0.17" footer="0.17"/>
  <pageSetup scale="70" orientation="landscape" r:id="rId1"/>
  <headerFooter alignWithMargins="0">
    <oddFooter>Page &amp;P</oddFooter>
  </headerFooter>
  <rowBreaks count="1" manualBreakCount="1">
    <brk id="5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workbookViewId="0">
      <selection activeCell="B28" sqref="B28"/>
    </sheetView>
  </sheetViews>
  <sheetFormatPr defaultRowHeight="15"/>
  <cols>
    <col min="1" max="1" width="6.85546875" customWidth="1"/>
    <col min="2" max="2" width="10.5703125" customWidth="1"/>
    <col min="3" max="3" width="8.140625" hidden="1" customWidth="1"/>
    <col min="4" max="4" width="6.28515625" customWidth="1"/>
    <col min="5" max="5" width="7.42578125" customWidth="1"/>
    <col min="6" max="6" width="10.140625" customWidth="1"/>
    <col min="8" max="8" width="9.85546875" customWidth="1"/>
    <col min="9" max="9" width="9" customWidth="1"/>
    <col min="10" max="10" width="9.42578125" customWidth="1"/>
    <col min="11" max="11" width="9.28515625" customWidth="1"/>
    <col min="12" max="12" width="8.85546875" customWidth="1"/>
    <col min="13" max="13" width="9.28515625" customWidth="1"/>
    <col min="14" max="14" width="12" customWidth="1"/>
    <col min="15" max="15" width="11.5703125" bestFit="1" customWidth="1"/>
    <col min="16" max="16" width="14.28515625" bestFit="1" customWidth="1"/>
    <col min="17" max="17" width="13.28515625" bestFit="1" customWidth="1"/>
    <col min="18" max="24" width="11.5703125" bestFit="1" customWidth="1"/>
    <col min="25" max="26" width="10.5703125" bestFit="1" customWidth="1"/>
  </cols>
  <sheetData>
    <row r="1" spans="1:26" ht="15.75">
      <c r="B1" s="225" t="s">
        <v>134</v>
      </c>
      <c r="N1" s="226"/>
    </row>
    <row r="2" spans="1:26" ht="15.75" thickBot="1"/>
    <row r="3" spans="1:26" ht="54.75" customHeight="1">
      <c r="A3" s="227" t="s">
        <v>135</v>
      </c>
      <c r="B3" s="228" t="s">
        <v>136</v>
      </c>
      <c r="C3" s="229"/>
      <c r="D3" s="230" t="s">
        <v>137</v>
      </c>
      <c r="E3" s="231"/>
      <c r="F3" s="232"/>
      <c r="G3" s="233" t="s">
        <v>138</v>
      </c>
      <c r="H3" s="234"/>
      <c r="I3" s="230" t="s">
        <v>139</v>
      </c>
      <c r="J3" s="231"/>
      <c r="K3" s="232"/>
      <c r="L3" s="228" t="s">
        <v>140</v>
      </c>
      <c r="M3" s="235" t="s">
        <v>141</v>
      </c>
      <c r="N3" s="236" t="s">
        <v>142</v>
      </c>
      <c r="O3" s="237" t="s">
        <v>143</v>
      </c>
    </row>
    <row r="4" spans="1:26" ht="36.75" customHeight="1" thickBot="1">
      <c r="A4" s="238"/>
      <c r="B4" s="239" t="s">
        <v>144</v>
      </c>
      <c r="C4" s="240" t="s">
        <v>145</v>
      </c>
      <c r="D4" s="239" t="s">
        <v>146</v>
      </c>
      <c r="E4" s="240" t="s">
        <v>147</v>
      </c>
      <c r="F4" s="240" t="s">
        <v>148</v>
      </c>
      <c r="G4" s="240" t="s">
        <v>147</v>
      </c>
      <c r="H4" s="240" t="s">
        <v>148</v>
      </c>
      <c r="I4" s="239" t="s">
        <v>146</v>
      </c>
      <c r="J4" s="240" t="s">
        <v>147</v>
      </c>
      <c r="K4" s="240" t="s">
        <v>148</v>
      </c>
      <c r="L4" s="241"/>
      <c r="M4" s="242"/>
      <c r="N4" s="243"/>
      <c r="O4" s="244"/>
    </row>
    <row r="5" spans="1:26">
      <c r="A5" s="245">
        <v>2019</v>
      </c>
      <c r="B5" s="246" t="s">
        <v>149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8"/>
    </row>
    <row r="6" spans="1:26" hidden="1">
      <c r="A6" s="249">
        <v>2017</v>
      </c>
      <c r="B6" s="250">
        <v>3076</v>
      </c>
      <c r="C6" s="250">
        <f>3588</f>
        <v>3588</v>
      </c>
      <c r="D6" s="251">
        <f>E6+F6</f>
        <v>110</v>
      </c>
      <c r="E6" s="251">
        <v>45</v>
      </c>
      <c r="F6" s="251">
        <v>65</v>
      </c>
      <c r="G6" s="252">
        <v>0.35</v>
      </c>
      <c r="H6" s="252">
        <v>0.6</v>
      </c>
      <c r="I6" s="253">
        <f>J6+K6</f>
        <v>168411</v>
      </c>
      <c r="J6" s="253">
        <f>B6*G6*E6</f>
        <v>48446.999999999993</v>
      </c>
      <c r="K6" s="253">
        <f>B6*F6*H6</f>
        <v>119964</v>
      </c>
      <c r="L6" s="254">
        <f>114</f>
        <v>114</v>
      </c>
      <c r="M6" s="255">
        <f>I6/D6</f>
        <v>1531.0090909090909</v>
      </c>
      <c r="N6" s="256">
        <v>0.25</v>
      </c>
      <c r="O6" s="257">
        <f>L6*M6*N6*D6</f>
        <v>4799713.5</v>
      </c>
      <c r="P6" s="258"/>
    </row>
    <row r="7" spans="1:26">
      <c r="A7" s="259">
        <v>2019</v>
      </c>
      <c r="B7" s="260">
        <v>1000</v>
      </c>
      <c r="C7" s="260">
        <f>C6*1.05</f>
        <v>3767.4</v>
      </c>
      <c r="D7" s="261">
        <v>90</v>
      </c>
      <c r="E7" s="261">
        <v>55</v>
      </c>
      <c r="F7" s="261">
        <v>35</v>
      </c>
      <c r="G7" s="262">
        <v>0.35</v>
      </c>
      <c r="H7" s="262">
        <v>0.6</v>
      </c>
      <c r="I7" s="263">
        <f>J7+K7</f>
        <v>40250</v>
      </c>
      <c r="J7" s="263">
        <f>B7*G7*E7</f>
        <v>19250</v>
      </c>
      <c r="K7" s="263">
        <f>B7*F7*H7</f>
        <v>21000</v>
      </c>
      <c r="L7" s="264">
        <f>L6</f>
        <v>114</v>
      </c>
      <c r="M7" s="263">
        <f t="shared" ref="M7:M16" si="0">I7/D7</f>
        <v>447.22222222222223</v>
      </c>
      <c r="N7" s="265">
        <v>0.3</v>
      </c>
      <c r="O7" s="266">
        <f>L7*M7*N7*D7*0.8</f>
        <v>1101240</v>
      </c>
      <c r="P7" s="258"/>
      <c r="Q7" s="226"/>
    </row>
    <row r="8" spans="1:26">
      <c r="A8" s="249">
        <f t="shared" ref="A8:A16" si="1">A7+1</f>
        <v>2020</v>
      </c>
      <c r="B8" s="250">
        <f t="shared" ref="B8:C16" si="2">B7*1.05</f>
        <v>1050</v>
      </c>
      <c r="C8" s="250">
        <f t="shared" si="2"/>
        <v>3955.7700000000004</v>
      </c>
      <c r="D8" s="251">
        <f t="shared" ref="D8:H16" si="3">D7</f>
        <v>90</v>
      </c>
      <c r="E8" s="251">
        <f t="shared" si="3"/>
        <v>55</v>
      </c>
      <c r="F8" s="251">
        <f t="shared" si="3"/>
        <v>35</v>
      </c>
      <c r="G8" s="252">
        <f t="shared" si="3"/>
        <v>0.35</v>
      </c>
      <c r="H8" s="252">
        <f t="shared" si="3"/>
        <v>0.6</v>
      </c>
      <c r="I8" s="253">
        <f t="shared" ref="I8:I16" si="4">J8+K8</f>
        <v>42262.5</v>
      </c>
      <c r="J8" s="253">
        <f t="shared" ref="J8:J16" si="5">B8*G8*E8</f>
        <v>20212.5</v>
      </c>
      <c r="K8" s="253">
        <f t="shared" ref="K8:K16" si="6">B8*F8*H8</f>
        <v>22050</v>
      </c>
      <c r="L8" s="254">
        <f t="shared" ref="L8:L16" si="7">L7</f>
        <v>114</v>
      </c>
      <c r="M8" s="253">
        <f t="shared" si="0"/>
        <v>469.58333333333331</v>
      </c>
      <c r="N8" s="256">
        <f t="shared" ref="N8:N16" si="8">N7</f>
        <v>0.3</v>
      </c>
      <c r="O8" s="257">
        <f t="shared" ref="O8:O16" si="9">L8*M8*N8*D8</f>
        <v>1445377.5</v>
      </c>
      <c r="P8" s="258"/>
    </row>
    <row r="9" spans="1:26">
      <c r="A9" s="249">
        <f t="shared" si="1"/>
        <v>2021</v>
      </c>
      <c r="B9" s="250">
        <f t="shared" si="2"/>
        <v>1102.5</v>
      </c>
      <c r="C9" s="250">
        <f t="shared" si="2"/>
        <v>4153.558500000001</v>
      </c>
      <c r="D9" s="251">
        <f t="shared" si="3"/>
        <v>90</v>
      </c>
      <c r="E9" s="251">
        <f t="shared" si="3"/>
        <v>55</v>
      </c>
      <c r="F9" s="251">
        <f t="shared" si="3"/>
        <v>35</v>
      </c>
      <c r="G9" s="252">
        <f t="shared" si="3"/>
        <v>0.35</v>
      </c>
      <c r="H9" s="252">
        <f t="shared" si="3"/>
        <v>0.6</v>
      </c>
      <c r="I9" s="253">
        <f t="shared" si="4"/>
        <v>44375.625</v>
      </c>
      <c r="J9" s="253">
        <f t="shared" si="5"/>
        <v>21223.125</v>
      </c>
      <c r="K9" s="253">
        <f t="shared" si="6"/>
        <v>23152.5</v>
      </c>
      <c r="L9" s="254">
        <f t="shared" si="7"/>
        <v>114</v>
      </c>
      <c r="M9" s="253">
        <f t="shared" si="0"/>
        <v>493.0625</v>
      </c>
      <c r="N9" s="256">
        <f t="shared" si="8"/>
        <v>0.3</v>
      </c>
      <c r="O9" s="267">
        <f t="shared" si="9"/>
        <v>1517646.375</v>
      </c>
      <c r="P9" s="258"/>
    </row>
    <row r="10" spans="1:26">
      <c r="A10" s="249">
        <f t="shared" si="1"/>
        <v>2022</v>
      </c>
      <c r="B10" s="250">
        <f t="shared" si="2"/>
        <v>1157.625</v>
      </c>
      <c r="C10" s="250">
        <f t="shared" si="2"/>
        <v>4361.236425000001</v>
      </c>
      <c r="D10" s="251">
        <f t="shared" si="3"/>
        <v>90</v>
      </c>
      <c r="E10" s="251">
        <f t="shared" si="3"/>
        <v>55</v>
      </c>
      <c r="F10" s="251">
        <f t="shared" si="3"/>
        <v>35</v>
      </c>
      <c r="G10" s="252">
        <f t="shared" si="3"/>
        <v>0.35</v>
      </c>
      <c r="H10" s="252">
        <f t="shared" si="3"/>
        <v>0.6</v>
      </c>
      <c r="I10" s="253">
        <f t="shared" si="4"/>
        <v>46594.40625</v>
      </c>
      <c r="J10" s="253">
        <f t="shared" si="5"/>
        <v>22284.28125</v>
      </c>
      <c r="K10" s="253">
        <f t="shared" si="6"/>
        <v>24310.125</v>
      </c>
      <c r="L10" s="254">
        <f t="shared" si="7"/>
        <v>114</v>
      </c>
      <c r="M10" s="253">
        <f t="shared" si="0"/>
        <v>517.71562500000005</v>
      </c>
      <c r="N10" s="256">
        <f t="shared" si="8"/>
        <v>0.3</v>
      </c>
      <c r="O10" s="257">
        <f t="shared" si="9"/>
        <v>1593528.6937499999</v>
      </c>
      <c r="P10" s="258"/>
    </row>
    <row r="11" spans="1:26">
      <c r="A11" s="249">
        <f t="shared" si="1"/>
        <v>2023</v>
      </c>
      <c r="B11" s="250">
        <f t="shared" si="2"/>
        <v>1215.5062500000001</v>
      </c>
      <c r="C11" s="250">
        <f t="shared" si="2"/>
        <v>4579.2982462500013</v>
      </c>
      <c r="D11" s="251">
        <f t="shared" si="3"/>
        <v>90</v>
      </c>
      <c r="E11" s="251">
        <f t="shared" si="3"/>
        <v>55</v>
      </c>
      <c r="F11" s="251">
        <f t="shared" si="3"/>
        <v>35</v>
      </c>
      <c r="G11" s="252">
        <f t="shared" si="3"/>
        <v>0.35</v>
      </c>
      <c r="H11" s="252">
        <f t="shared" si="3"/>
        <v>0.6</v>
      </c>
      <c r="I11" s="253">
        <f t="shared" si="4"/>
        <v>48924.126562500001</v>
      </c>
      <c r="J11" s="253">
        <f t="shared" si="5"/>
        <v>23398.495312499999</v>
      </c>
      <c r="K11" s="253">
        <f t="shared" si="6"/>
        <v>25525.631250000002</v>
      </c>
      <c r="L11" s="254">
        <f t="shared" si="7"/>
        <v>114</v>
      </c>
      <c r="M11" s="253">
        <f t="shared" si="0"/>
        <v>543.60140624999997</v>
      </c>
      <c r="N11" s="256">
        <f t="shared" si="8"/>
        <v>0.3</v>
      </c>
      <c r="O11" s="257">
        <f t="shared" si="9"/>
        <v>1673205.1284375</v>
      </c>
      <c r="P11" s="258"/>
    </row>
    <row r="12" spans="1:26">
      <c r="A12" s="249">
        <f t="shared" si="1"/>
        <v>2024</v>
      </c>
      <c r="B12" s="250">
        <f t="shared" si="2"/>
        <v>1276.2815625000003</v>
      </c>
      <c r="C12" s="250">
        <f t="shared" ref="C12:C16" si="10">C11</f>
        <v>4579.2982462500013</v>
      </c>
      <c r="D12" s="251">
        <f t="shared" si="3"/>
        <v>90</v>
      </c>
      <c r="E12" s="251">
        <f t="shared" si="3"/>
        <v>55</v>
      </c>
      <c r="F12" s="251">
        <f t="shared" si="3"/>
        <v>35</v>
      </c>
      <c r="G12" s="252">
        <f t="shared" si="3"/>
        <v>0.35</v>
      </c>
      <c r="H12" s="252">
        <f t="shared" si="3"/>
        <v>0.6</v>
      </c>
      <c r="I12" s="253">
        <f t="shared" si="4"/>
        <v>51370.33289062501</v>
      </c>
      <c r="J12" s="253">
        <f t="shared" si="5"/>
        <v>24568.420078125004</v>
      </c>
      <c r="K12" s="253">
        <f t="shared" si="6"/>
        <v>26801.912812500006</v>
      </c>
      <c r="L12" s="254">
        <f t="shared" si="7"/>
        <v>114</v>
      </c>
      <c r="M12" s="253">
        <f t="shared" si="0"/>
        <v>570.78147656250007</v>
      </c>
      <c r="N12" s="256">
        <f t="shared" si="8"/>
        <v>0.3</v>
      </c>
      <c r="O12" s="257">
        <f t="shared" si="9"/>
        <v>1756865.384859375</v>
      </c>
      <c r="P12" s="258"/>
      <c r="Q12" s="258"/>
      <c r="R12" s="268"/>
      <c r="S12" s="268"/>
      <c r="T12" s="268"/>
      <c r="U12" s="268"/>
      <c r="V12" s="268"/>
      <c r="W12" s="268"/>
      <c r="X12" s="268"/>
      <c r="Y12" s="268"/>
      <c r="Z12" s="268"/>
    </row>
    <row r="13" spans="1:26">
      <c r="A13" s="249">
        <f t="shared" si="1"/>
        <v>2025</v>
      </c>
      <c r="B13" s="250">
        <f t="shared" si="2"/>
        <v>1340.0956406250004</v>
      </c>
      <c r="C13" s="250">
        <f t="shared" si="10"/>
        <v>4579.2982462500013</v>
      </c>
      <c r="D13" s="251">
        <f t="shared" si="3"/>
        <v>90</v>
      </c>
      <c r="E13" s="251">
        <f t="shared" si="3"/>
        <v>55</v>
      </c>
      <c r="F13" s="251">
        <f t="shared" si="3"/>
        <v>35</v>
      </c>
      <c r="G13" s="252">
        <f t="shared" si="3"/>
        <v>0.35</v>
      </c>
      <c r="H13" s="252">
        <f t="shared" si="3"/>
        <v>0.6</v>
      </c>
      <c r="I13" s="253">
        <f t="shared" si="4"/>
        <v>53938.84953515626</v>
      </c>
      <c r="J13" s="253">
        <f t="shared" si="5"/>
        <v>25796.841082031257</v>
      </c>
      <c r="K13" s="253">
        <f t="shared" si="6"/>
        <v>28142.008453125007</v>
      </c>
      <c r="L13" s="254">
        <f t="shared" si="7"/>
        <v>114</v>
      </c>
      <c r="M13" s="253">
        <f t="shared" si="0"/>
        <v>599.32055039062516</v>
      </c>
      <c r="N13" s="256">
        <f t="shared" si="8"/>
        <v>0.3</v>
      </c>
      <c r="O13" s="257">
        <f t="shared" si="9"/>
        <v>1844708.6541023441</v>
      </c>
      <c r="P13" s="258"/>
    </row>
    <row r="14" spans="1:26">
      <c r="A14" s="249">
        <f t="shared" si="1"/>
        <v>2026</v>
      </c>
      <c r="B14" s="250">
        <f t="shared" si="2"/>
        <v>1407.1004226562504</v>
      </c>
      <c r="C14" s="250">
        <f t="shared" si="10"/>
        <v>4579.2982462500013</v>
      </c>
      <c r="D14" s="251">
        <f t="shared" si="3"/>
        <v>90</v>
      </c>
      <c r="E14" s="251">
        <f t="shared" si="3"/>
        <v>55</v>
      </c>
      <c r="F14" s="251">
        <f t="shared" si="3"/>
        <v>35</v>
      </c>
      <c r="G14" s="252">
        <f t="shared" si="3"/>
        <v>0.35</v>
      </c>
      <c r="H14" s="252">
        <f t="shared" si="3"/>
        <v>0.6</v>
      </c>
      <c r="I14" s="253">
        <f t="shared" si="4"/>
        <v>56635.792011914076</v>
      </c>
      <c r="J14" s="253">
        <f t="shared" si="5"/>
        <v>27086.683136132819</v>
      </c>
      <c r="K14" s="253">
        <f t="shared" si="6"/>
        <v>29549.108875781258</v>
      </c>
      <c r="L14" s="254">
        <f t="shared" si="7"/>
        <v>114</v>
      </c>
      <c r="M14" s="253">
        <f t="shared" si="0"/>
        <v>629.28657791015644</v>
      </c>
      <c r="N14" s="256">
        <f t="shared" si="8"/>
        <v>0.3</v>
      </c>
      <c r="O14" s="257">
        <f t="shared" si="9"/>
        <v>1936944.0868074612</v>
      </c>
      <c r="P14" s="258"/>
    </row>
    <row r="15" spans="1:26">
      <c r="A15" s="249">
        <f t="shared" si="1"/>
        <v>2027</v>
      </c>
      <c r="B15" s="250">
        <f t="shared" si="2"/>
        <v>1477.4554437890631</v>
      </c>
      <c r="C15" s="250">
        <f t="shared" si="10"/>
        <v>4579.2982462500013</v>
      </c>
      <c r="D15" s="251">
        <f t="shared" si="3"/>
        <v>90</v>
      </c>
      <c r="E15" s="251">
        <f t="shared" si="3"/>
        <v>55</v>
      </c>
      <c r="F15" s="251">
        <f t="shared" si="3"/>
        <v>35</v>
      </c>
      <c r="G15" s="252">
        <f t="shared" si="3"/>
        <v>0.35</v>
      </c>
      <c r="H15" s="252">
        <f t="shared" si="3"/>
        <v>0.6</v>
      </c>
      <c r="I15" s="253">
        <f t="shared" si="4"/>
        <v>59467.581612509784</v>
      </c>
      <c r="J15" s="253">
        <f t="shared" si="5"/>
        <v>28441.017292939461</v>
      </c>
      <c r="K15" s="253">
        <f t="shared" si="6"/>
        <v>31026.564319570323</v>
      </c>
      <c r="L15" s="254">
        <f t="shared" si="7"/>
        <v>114</v>
      </c>
      <c r="M15" s="253">
        <f t="shared" si="0"/>
        <v>660.75090680566427</v>
      </c>
      <c r="N15" s="256">
        <f t="shared" si="8"/>
        <v>0.3</v>
      </c>
      <c r="O15" s="257">
        <f t="shared" si="9"/>
        <v>2033791.2911478349</v>
      </c>
      <c r="P15" s="258"/>
    </row>
    <row r="16" spans="1:26" ht="15.75" thickBot="1">
      <c r="A16" s="269">
        <f t="shared" si="1"/>
        <v>2028</v>
      </c>
      <c r="B16" s="250">
        <f t="shared" si="2"/>
        <v>1551.3282159785163</v>
      </c>
      <c r="C16" s="270">
        <f t="shared" si="10"/>
        <v>4579.2982462500013</v>
      </c>
      <c r="D16" s="271">
        <f t="shared" si="3"/>
        <v>90</v>
      </c>
      <c r="E16" s="271">
        <f t="shared" si="3"/>
        <v>55</v>
      </c>
      <c r="F16" s="271">
        <f t="shared" si="3"/>
        <v>35</v>
      </c>
      <c r="G16" s="272">
        <f t="shared" si="3"/>
        <v>0.35</v>
      </c>
      <c r="H16" s="272">
        <f t="shared" si="3"/>
        <v>0.6</v>
      </c>
      <c r="I16" s="273">
        <f t="shared" si="4"/>
        <v>62440.960693135276</v>
      </c>
      <c r="J16" s="273">
        <f t="shared" si="5"/>
        <v>29863.068157586436</v>
      </c>
      <c r="K16" s="273">
        <f t="shared" si="6"/>
        <v>32577.892535548839</v>
      </c>
      <c r="L16" s="254">
        <f t="shared" si="7"/>
        <v>114</v>
      </c>
      <c r="M16" s="273">
        <f t="shared" si="0"/>
        <v>693.78845214594753</v>
      </c>
      <c r="N16" s="274">
        <f t="shared" si="8"/>
        <v>0.3</v>
      </c>
      <c r="O16" s="275">
        <f t="shared" si="9"/>
        <v>2135480.8557052268</v>
      </c>
      <c r="P16" s="258"/>
    </row>
    <row r="18" spans="1:1">
      <c r="A18" s="276" t="s">
        <v>150</v>
      </c>
    </row>
    <row r="19" spans="1:1">
      <c r="A19" s="276"/>
    </row>
    <row r="20" spans="1:1">
      <c r="A20" t="s">
        <v>151</v>
      </c>
    </row>
    <row r="21" spans="1:1">
      <c r="A21" t="s">
        <v>152</v>
      </c>
    </row>
    <row r="22" spans="1:1">
      <c r="A22" t="s">
        <v>153</v>
      </c>
    </row>
    <row r="23" spans="1:1">
      <c r="A23" t="s">
        <v>154</v>
      </c>
    </row>
    <row r="24" spans="1:1">
      <c r="A24" t="s">
        <v>155</v>
      </c>
    </row>
    <row r="25" spans="1:1">
      <c r="A25" t="s">
        <v>156</v>
      </c>
    </row>
    <row r="26" spans="1:1">
      <c r="A26" t="s">
        <v>157</v>
      </c>
    </row>
    <row r="27" spans="1:1">
      <c r="A27" t="s">
        <v>158</v>
      </c>
    </row>
  </sheetData>
  <mergeCells count="10">
    <mergeCell ref="M3:M4"/>
    <mergeCell ref="N3:N4"/>
    <mergeCell ref="O3:O4"/>
    <mergeCell ref="B5:O5"/>
    <mergeCell ref="A3:A4"/>
    <mergeCell ref="B3:C3"/>
    <mergeCell ref="D3:F3"/>
    <mergeCell ref="G3:H3"/>
    <mergeCell ref="I3:K3"/>
    <mergeCell ref="L3:L4"/>
  </mergeCells>
  <pageMargins left="0.28000000000000003" right="0.26" top="0.75" bottom="0.75" header="0.25" footer="0.3"/>
  <pageSetup orientation="landscape" r:id="rId1"/>
  <headerFooter>
    <oddHeader>&amp;C&amp;P</oddHeader>
    <oddFooter>&amp;C&amp;"-,Italic"estimari venituri telegondola sezon schi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CF proiect 10 ani</vt:lpstr>
      <vt:lpstr>venituri telegondola sezon schi</vt:lpstr>
      <vt:lpstr>'CF proiect 10 ani'!Print_Titles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2019-05-31T15:38:21Z</dcterms:created>
  <dcterms:modified xsi:type="dcterms:W3CDTF">2019-05-31T15:40:15Z</dcterms:modified>
</cp:coreProperties>
</file>